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单通道设置" sheetId="1" r:id="rId1"/>
  </sheets>
  <definedNames/>
  <calcPr fullCalcOnLoad="1"/>
</workbook>
</file>

<file path=xl/sharedStrings.xml><?xml version="1.0" encoding="utf-8"?>
<sst xmlns="http://schemas.openxmlformats.org/spreadsheetml/2006/main" count="242" uniqueCount="107">
  <si>
    <r>
      <rPr>
        <b/>
        <sz val="20"/>
        <rFont val="宋体"/>
        <family val="0"/>
      </rPr>
      <t>超声相控阵工艺模拟器</t>
    </r>
    <r>
      <rPr>
        <b/>
        <sz val="12"/>
        <rFont val="宋体"/>
        <family val="0"/>
      </rPr>
      <t>（设计人：曹智）</t>
    </r>
  </si>
  <si>
    <t>参数设置</t>
  </si>
  <si>
    <t>工件厚度</t>
  </si>
  <si>
    <t>焊缝设置</t>
  </si>
  <si>
    <t>坡口型式</t>
  </si>
  <si>
    <t>1、V型或X型坡口</t>
  </si>
  <si>
    <t>2、U型坡口</t>
  </si>
  <si>
    <t>3、双U型坡口</t>
  </si>
  <si>
    <t>距焊缝中心</t>
  </si>
  <si>
    <t>母材厚度</t>
  </si>
  <si>
    <t>上坡口角度</t>
  </si>
  <si>
    <t>单边坡口角度</t>
  </si>
  <si>
    <t>上部单边坡口角度</t>
  </si>
  <si>
    <t>反射波次</t>
  </si>
  <si>
    <t>焊缝上宽</t>
  </si>
  <si>
    <t>钝边宽度</t>
  </si>
  <si>
    <t>U底曲率半径</t>
  </si>
  <si>
    <t>上U型底部曲率半径</t>
  </si>
  <si>
    <t>工件声速</t>
  </si>
  <si>
    <t>焊缝下宽</t>
  </si>
  <si>
    <t>钝边高度</t>
  </si>
  <si>
    <t>上边界角</t>
  </si>
  <si>
    <t>检测区单边宽度增加值</t>
  </si>
  <si>
    <t>下坡口高度</t>
  </si>
  <si>
    <t>下边界角</t>
  </si>
  <si>
    <t>下坡口角度</t>
  </si>
  <si>
    <t>入射前沿</t>
  </si>
  <si>
    <t>备注：（1）“坡口类型”参数设置中请输入“1”“2”“3”代表坡口型式。</t>
  </si>
  <si>
    <t>下单边坡口角度</t>
  </si>
  <si>
    <t>入射间距</t>
  </si>
  <si>
    <t>下U型底曲率半径</t>
  </si>
  <si>
    <t>缺陷分析</t>
  </si>
  <si>
    <t>水平位置</t>
  </si>
  <si>
    <t>垂直深度</t>
  </si>
  <si>
    <t>当前角度</t>
  </si>
  <si>
    <t>最终模拟数据</t>
  </si>
  <si>
    <t>左检测宽度</t>
  </si>
  <si>
    <t>焊缝左</t>
  </si>
  <si>
    <t>焊缝右</t>
  </si>
  <si>
    <t>右焊缝宽度</t>
  </si>
  <si>
    <t>工件中声束</t>
  </si>
  <si>
    <t>X1</t>
  </si>
  <si>
    <t>X2</t>
  </si>
  <si>
    <t>Y1</t>
  </si>
  <si>
    <t>Y2</t>
  </si>
  <si>
    <t>X</t>
  </si>
  <si>
    <t>Y</t>
  </si>
  <si>
    <t>大角度</t>
  </si>
  <si>
    <t>一次</t>
  </si>
  <si>
    <t>h</t>
  </si>
  <si>
    <t>二次</t>
  </si>
  <si>
    <t>g</t>
  </si>
  <si>
    <t>小角度</t>
  </si>
  <si>
    <t>f</t>
  </si>
  <si>
    <t>e</t>
  </si>
  <si>
    <t>指针</t>
  </si>
  <si>
    <t>d</t>
  </si>
  <si>
    <t>c</t>
  </si>
  <si>
    <t>楔块中声束</t>
  </si>
  <si>
    <t>b</t>
  </si>
  <si>
    <t>a</t>
  </si>
  <si>
    <t>焊缝信息</t>
  </si>
  <si>
    <t>上焊缝宽度</t>
  </si>
  <si>
    <t>下焊缝宽度</t>
  </si>
  <si>
    <t>探头位置</t>
  </si>
  <si>
    <t>X3</t>
  </si>
  <si>
    <t>X4</t>
  </si>
  <si>
    <t>X5</t>
  </si>
  <si>
    <t>上工件表面</t>
  </si>
  <si>
    <t>Y3</t>
  </si>
  <si>
    <t>Y4</t>
  </si>
  <si>
    <t>Y5</t>
  </si>
  <si>
    <t>下工件表面</t>
  </si>
  <si>
    <t>缺陷位置</t>
  </si>
  <si>
    <t>缺陷1</t>
  </si>
  <si>
    <t>V型坡口</t>
  </si>
  <si>
    <t>左X</t>
  </si>
  <si>
    <t>右X</t>
  </si>
  <si>
    <t>tanа</t>
  </si>
  <si>
    <t>v检测区域</t>
  </si>
  <si>
    <t>一次上</t>
  </si>
  <si>
    <t>O</t>
  </si>
  <si>
    <t>二次上</t>
  </si>
  <si>
    <t>tanб</t>
  </si>
  <si>
    <t>一次下</t>
  </si>
  <si>
    <t>二次下</t>
  </si>
  <si>
    <t>tanФ</t>
  </si>
  <si>
    <t>U型坡口</t>
  </si>
  <si>
    <t>U检测区域</t>
  </si>
  <si>
    <t>楔块</t>
  </si>
  <si>
    <t>角度值</t>
  </si>
  <si>
    <t>sin45°</t>
  </si>
  <si>
    <t>tanа1</t>
  </si>
  <si>
    <t>1-sin45°</t>
  </si>
  <si>
    <t>tanб1</t>
  </si>
  <si>
    <t>sinJ7</t>
  </si>
  <si>
    <t>tanФ1</t>
  </si>
  <si>
    <t>cosJ7</t>
  </si>
  <si>
    <t>探头</t>
  </si>
  <si>
    <t>tanJ7</t>
  </si>
  <si>
    <t>双U坡口</t>
  </si>
  <si>
    <t>sin45</t>
  </si>
  <si>
    <t>sinб</t>
  </si>
  <si>
    <t>sinа</t>
  </si>
  <si>
    <t>cosб</t>
  </si>
  <si>
    <t>1-sinа</t>
  </si>
  <si>
    <t>cosа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</si>
</sst>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64">
    <font>
      <sz val="12"/>
      <name val="宋体"/>
      <family val="0"/>
    </font>
    <font>
      <sz val="10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color indexed="2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0"/>
      <name val="宋体"/>
      <family val="0"/>
    </font>
    <font>
      <sz val="12"/>
      <color theme="0"/>
      <name val="宋体"/>
      <family val="0"/>
    </font>
    <font>
      <b/>
      <sz val="24"/>
      <name val="Calibri"/>
      <family val="0"/>
    </font>
    <font>
      <sz val="12"/>
      <color theme="5" tint="0.39998000860214233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0" fillId="0" borderId="0" applyFont="0" applyFill="0" applyBorder="0" applyAlignment="0" applyProtection="0"/>
    <xf numFmtId="0" fontId="41" fillId="2" borderId="0" applyNumberFormat="0" applyBorder="0" applyAlignment="0" applyProtection="0"/>
    <xf numFmtId="0" fontId="17" fillId="3" borderId="1" applyNumberFormat="0" applyAlignment="0" applyProtection="0"/>
    <xf numFmtId="0" fontId="42" fillId="4" borderId="2" applyNumberFormat="0" applyAlignment="0" applyProtection="0"/>
    <xf numFmtId="4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21" fillId="3" borderId="3" applyNumberFormat="0" applyAlignment="0" applyProtection="0"/>
    <xf numFmtId="0" fontId="43" fillId="6" borderId="0" applyNumberFormat="0" applyBorder="0" applyAlignment="0" applyProtection="0"/>
    <xf numFmtId="43" fontId="4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0" borderId="4" applyNumberFormat="0" applyFill="0" applyAlignment="0" applyProtection="0"/>
    <xf numFmtId="9" fontId="4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8" borderId="5" applyNumberFormat="0" applyFont="0" applyAlignment="0" applyProtection="0"/>
    <xf numFmtId="0" fontId="44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44" fillId="10" borderId="0" applyNumberFormat="0" applyBorder="0" applyAlignment="0" applyProtection="0"/>
    <xf numFmtId="0" fontId="4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53" fillId="12" borderId="8" applyNumberFormat="0" applyAlignment="0" applyProtection="0"/>
    <xf numFmtId="0" fontId="54" fillId="12" borderId="2" applyNumberFormat="0" applyAlignment="0" applyProtection="0"/>
    <xf numFmtId="0" fontId="55" fillId="13" borderId="9" applyNumberFormat="0" applyAlignment="0" applyProtection="0"/>
    <xf numFmtId="0" fontId="20" fillId="0" borderId="10" applyNumberFormat="0" applyFill="0" applyAlignment="0" applyProtection="0"/>
    <xf numFmtId="0" fontId="27" fillId="14" borderId="0" applyNumberFormat="0" applyBorder="0" applyAlignment="0" applyProtection="0"/>
    <xf numFmtId="0" fontId="41" fillId="15" borderId="0" applyNumberFormat="0" applyBorder="0" applyAlignment="0" applyProtection="0"/>
    <xf numFmtId="0" fontId="44" fillId="16" borderId="0" applyNumberFormat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10" applyNumberFormat="0" applyFill="0" applyAlignment="0" applyProtection="0"/>
    <xf numFmtId="0" fontId="41" fillId="19" borderId="0" applyNumberFormat="0" applyBorder="0" applyAlignment="0" applyProtection="0"/>
    <xf numFmtId="0" fontId="44" fillId="20" borderId="0" applyNumberFormat="0" applyBorder="0" applyAlignment="0" applyProtection="0"/>
    <xf numFmtId="0" fontId="41" fillId="21" borderId="0" applyNumberFormat="0" applyBorder="0" applyAlignment="0" applyProtection="0"/>
    <xf numFmtId="0" fontId="37" fillId="0" borderId="1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3" borderId="1" applyNumberFormat="0" applyAlignment="0" applyProtection="0"/>
    <xf numFmtId="0" fontId="41" fillId="24" borderId="0" applyNumberFormat="0" applyBorder="0" applyAlignment="0" applyProtection="0"/>
    <xf numFmtId="0" fontId="27" fillId="1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1" fillId="3" borderId="3" applyNumberFormat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36" fillId="34" borderId="0" applyNumberFormat="0" applyBorder="0" applyAlignment="0" applyProtection="0"/>
    <xf numFmtId="0" fontId="44" fillId="35" borderId="0" applyNumberFormat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8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0" fillId="0" borderId="0">
      <alignment/>
      <protection/>
    </xf>
    <xf numFmtId="0" fontId="28" fillId="0" borderId="4" applyNumberFormat="0" applyFill="0" applyAlignment="0" applyProtection="0"/>
    <xf numFmtId="0" fontId="31" fillId="37" borderId="16" applyNumberFormat="0" applyAlignment="0" applyProtection="0"/>
    <xf numFmtId="0" fontId="31" fillId="37" borderId="1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6" fillId="34" borderId="0" applyNumberFormat="0" applyBorder="0" applyAlignment="0" applyProtection="0"/>
    <xf numFmtId="0" fontId="15" fillId="38" borderId="3" applyNumberFormat="0" applyAlignment="0" applyProtection="0"/>
    <xf numFmtId="0" fontId="15" fillId="38" borderId="3" applyNumberForma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 vertical="center" wrapText="1"/>
      <protection hidden="1"/>
    </xf>
    <xf numFmtId="0" fontId="4" fillId="35" borderId="18" xfId="0" applyFont="1" applyFill="1" applyBorder="1" applyAlignment="1" applyProtection="1">
      <alignment horizontal="center" vertical="center" wrapText="1"/>
      <protection hidden="1"/>
    </xf>
    <xf numFmtId="0" fontId="4" fillId="35" borderId="19" xfId="0" applyFont="1" applyFill="1" applyBorder="1" applyAlignment="1" applyProtection="1">
      <alignment horizontal="center" vertical="center" wrapText="1"/>
      <protection hidden="1"/>
    </xf>
    <xf numFmtId="0" fontId="62" fillId="40" borderId="20" xfId="0" applyFont="1" applyFill="1" applyBorder="1" applyAlignment="1" applyProtection="1">
      <alignment horizontal="center" vertical="center" wrapText="1"/>
      <protection hidden="1"/>
    </xf>
    <xf numFmtId="0" fontId="62" fillId="40" borderId="21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/>
      <protection hidden="1"/>
    </xf>
    <xf numFmtId="0" fontId="0" fillId="24" borderId="21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5" fillId="40" borderId="21" xfId="0" applyFont="1" applyFill="1" applyBorder="1" applyAlignment="1" applyProtection="1">
      <alignment horizontal="center" vertical="center" wrapText="1"/>
      <protection hidden="1"/>
    </xf>
    <xf numFmtId="0" fontId="62" fillId="40" borderId="22" xfId="0" applyFont="1" applyFill="1" applyBorder="1" applyAlignment="1" applyProtection="1">
      <alignment horizontal="center" vertical="center" wrapText="1"/>
      <protection hidden="1"/>
    </xf>
    <xf numFmtId="0" fontId="62" fillId="40" borderId="23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5" fillId="40" borderId="23" xfId="0" applyFont="1" applyFill="1" applyBorder="1" applyAlignment="1" applyProtection="1">
      <alignment horizontal="center" vertical="center" wrapText="1"/>
      <protection hidden="1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center" vertical="center"/>
      <protection hidden="1"/>
    </xf>
    <xf numFmtId="0" fontId="1" fillId="35" borderId="24" xfId="0" applyFont="1" applyFill="1" applyBorder="1" applyAlignment="1" applyProtection="1">
      <alignment horizontal="left" vertical="center" wrapText="1"/>
      <protection hidden="1"/>
    </xf>
    <xf numFmtId="0" fontId="62" fillId="40" borderId="25" xfId="0" applyFont="1" applyFill="1" applyBorder="1" applyAlignment="1" applyProtection="1">
      <alignment horizontal="center" vertical="center" wrapText="1"/>
      <protection hidden="1"/>
    </xf>
    <xf numFmtId="0" fontId="62" fillId="40" borderId="26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/>
      <protection hidden="1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5" fillId="40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left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63" fillId="9" borderId="29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0" xfId="0" applyNumberFormat="1" applyFont="1" applyFill="1" applyBorder="1" applyAlignment="1" applyProtection="1">
      <alignment horizontal="center"/>
      <protection hidden="1"/>
    </xf>
    <xf numFmtId="0" fontId="7" fillId="35" borderId="22" xfId="0" applyFont="1" applyFill="1" applyBorder="1" applyAlignment="1" applyProtection="1">
      <alignment horizontal="center" vertical="center" wrapText="1"/>
      <protection hidden="1"/>
    </xf>
    <xf numFmtId="0" fontId="7" fillId="35" borderId="23" xfId="0" applyFont="1" applyFill="1" applyBorder="1" applyAlignment="1" applyProtection="1">
      <alignment horizontal="center" vertical="center" wrapText="1"/>
      <protection hidden="1"/>
    </xf>
    <xf numFmtId="0" fontId="63" fillId="9" borderId="23" xfId="0" applyFont="1" applyFill="1" applyBorder="1" applyAlignment="1" applyProtection="1">
      <alignment horizontal="center" vertical="center"/>
      <protection locked="0"/>
    </xf>
    <xf numFmtId="0" fontId="1" fillId="35" borderId="23" xfId="0" applyNumberFormat="1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1" fillId="35" borderId="22" xfId="0" applyFont="1" applyFill="1" applyBorder="1" applyAlignment="1" applyProtection="1">
      <alignment horizontal="center" vertical="center"/>
      <protection hidden="1"/>
    </xf>
    <xf numFmtId="0" fontId="1" fillId="24" borderId="23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hidden="1"/>
    </xf>
    <xf numFmtId="0" fontId="1" fillId="35" borderId="30" xfId="0" applyFont="1" applyFill="1" applyBorder="1" applyAlignment="1" applyProtection="1">
      <alignment horizontal="center"/>
      <protection hidden="1"/>
    </xf>
    <xf numFmtId="0" fontId="1" fillId="35" borderId="31" xfId="0" applyFont="1" applyFill="1" applyBorder="1" applyAlignment="1" applyProtection="1">
      <alignment horizontal="center"/>
      <protection hidden="1"/>
    </xf>
    <xf numFmtId="0" fontId="1" fillId="35" borderId="32" xfId="0" applyFont="1" applyFill="1" applyBorder="1" applyAlignment="1" applyProtection="1">
      <alignment horizontal="center"/>
      <protection hidden="1"/>
    </xf>
    <xf numFmtId="0" fontId="1" fillId="35" borderId="33" xfId="0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 horizontal="center"/>
      <protection hidden="1"/>
    </xf>
    <xf numFmtId="0" fontId="1" fillId="35" borderId="34" xfId="0" applyFont="1" applyFill="1" applyBorder="1" applyAlignment="1" applyProtection="1">
      <alignment horizontal="center"/>
      <protection hidden="1"/>
    </xf>
    <xf numFmtId="0" fontId="1" fillId="35" borderId="35" xfId="0" applyFont="1" applyFill="1" applyBorder="1" applyAlignment="1" applyProtection="1">
      <alignment horizontal="center"/>
      <protection hidden="1"/>
    </xf>
    <xf numFmtId="0" fontId="1" fillId="35" borderId="36" xfId="0" applyFont="1" applyFill="1" applyBorder="1" applyAlignment="1" applyProtection="1">
      <alignment horizontal="center"/>
      <protection hidden="1"/>
    </xf>
    <xf numFmtId="0" fontId="1" fillId="35" borderId="37" xfId="0" applyFont="1" applyFill="1" applyBorder="1" applyAlignment="1" applyProtection="1">
      <alignment horizontal="center"/>
      <protection hidden="1"/>
    </xf>
    <xf numFmtId="0" fontId="1" fillId="35" borderId="26" xfId="0" applyFont="1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/>
      <protection locked="0"/>
    </xf>
    <xf numFmtId="0" fontId="60" fillId="0" borderId="0" xfId="84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84" applyNumberFormat="1" applyFont="1" applyFill="1" applyBorder="1" applyAlignment="1" applyProtection="1">
      <alignment horizontal="center" vertical="center"/>
      <protection hidden="1"/>
    </xf>
    <xf numFmtId="0" fontId="60" fillId="0" borderId="0" xfId="84" applyNumberFormat="1" applyFont="1" applyFill="1" applyBorder="1" applyAlignment="1" applyProtection="1">
      <alignment vertical="center"/>
      <protection hidden="1"/>
    </xf>
    <xf numFmtId="0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60" fillId="0" borderId="0" xfId="84" applyFont="1" applyFill="1" applyBorder="1" applyAlignment="1" applyProtection="1">
      <alignment horizontal="center" vertical="center" wrapText="1"/>
      <protection hidden="1"/>
    </xf>
    <xf numFmtId="0" fontId="60" fillId="0" borderId="0" xfId="84" applyFont="1" applyFill="1" applyBorder="1" applyAlignment="1" applyProtection="1">
      <alignment horizontal="center" vertical="center"/>
      <protection hidden="1"/>
    </xf>
    <xf numFmtId="176" fontId="60" fillId="0" borderId="0" xfId="84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center"/>
      <protection hidden="1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 hidden="1"/>
    </xf>
    <xf numFmtId="0" fontId="10" fillId="40" borderId="21" xfId="0" applyFont="1" applyFill="1" applyBorder="1" applyAlignment="1" applyProtection="1">
      <alignment horizontal="center" vertical="center" wrapText="1"/>
      <protection hidden="1"/>
    </xf>
    <xf numFmtId="0" fontId="10" fillId="35" borderId="23" xfId="0" applyFont="1" applyFill="1" applyBorder="1" applyAlignment="1" applyProtection="1">
      <alignment horizontal="center" vertical="center" wrapText="1"/>
      <protection hidden="1"/>
    </xf>
    <xf numFmtId="0" fontId="0" fillId="35" borderId="23" xfId="0" applyFont="1" applyFill="1" applyBorder="1" applyAlignment="1" applyProtection="1">
      <alignment horizontal="center" vertical="center" wrapText="1"/>
      <protection hidden="1"/>
    </xf>
    <xf numFmtId="0" fontId="0" fillId="24" borderId="23" xfId="0" applyFont="1" applyFill="1" applyBorder="1" applyAlignment="1" applyProtection="1">
      <alignment horizontal="center" vertical="center" wrapText="1"/>
      <protection locked="0"/>
    </xf>
    <xf numFmtId="0" fontId="1" fillId="35" borderId="31" xfId="0" applyFont="1" applyFill="1" applyBorder="1" applyAlignment="1" applyProtection="1">
      <alignment horizontal="left" vertical="center" wrapText="1"/>
      <protection hidden="1"/>
    </xf>
    <xf numFmtId="0" fontId="1" fillId="35" borderId="32" xfId="0" applyFont="1" applyFill="1" applyBorder="1" applyAlignment="1" applyProtection="1">
      <alignment horizontal="left" vertical="center" wrapText="1"/>
      <protection hidden="1"/>
    </xf>
    <xf numFmtId="0" fontId="1" fillId="35" borderId="36" xfId="0" applyFont="1" applyFill="1" applyBorder="1" applyAlignment="1" applyProtection="1">
      <alignment horizontal="left" vertical="center" wrapText="1"/>
      <protection hidden="1"/>
    </xf>
    <xf numFmtId="0" fontId="1" fillId="35" borderId="37" xfId="0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4" fillId="35" borderId="38" xfId="0" applyFont="1" applyFill="1" applyBorder="1" applyAlignment="1" applyProtection="1">
      <alignment horizontal="center" vertical="center" wrapText="1"/>
      <protection hidden="1"/>
    </xf>
    <xf numFmtId="0" fontId="6" fillId="35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177" fontId="10" fillId="40" borderId="21" xfId="0" applyNumberFormat="1" applyFont="1" applyFill="1" applyBorder="1" applyAlignment="1" applyProtection="1">
      <alignment horizontal="center" vertical="center" wrapText="1"/>
      <protection hidden="1"/>
    </xf>
    <xf numFmtId="177" fontId="10" fillId="40" borderId="39" xfId="0" applyNumberFormat="1" applyFont="1" applyFill="1" applyBorder="1" applyAlignment="1" applyProtection="1">
      <alignment horizontal="center" vertical="center" wrapText="1"/>
      <protection hidden="1"/>
    </xf>
    <xf numFmtId="177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178" fontId="0" fillId="2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6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hidden="1"/>
    </xf>
    <xf numFmtId="178" fontId="0" fillId="2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42" xfId="0" applyFont="1" applyFill="1" applyBorder="1" applyAlignment="1" applyProtection="1">
      <alignment horizontal="center" vertical="center" wrapText="1"/>
      <protection hidden="1"/>
    </xf>
    <xf numFmtId="0" fontId="1" fillId="35" borderId="40" xfId="0" applyNumberFormat="1" applyFont="1" applyFill="1" applyBorder="1" applyAlignment="1" applyProtection="1">
      <alignment horizontal="center"/>
      <protection hidden="1"/>
    </xf>
    <xf numFmtId="0" fontId="1" fillId="35" borderId="40" xfId="0" applyFont="1" applyFill="1" applyBorder="1" applyAlignment="1" applyProtection="1">
      <alignment/>
      <protection locked="0"/>
    </xf>
    <xf numFmtId="0" fontId="1" fillId="35" borderId="40" xfId="0" applyFont="1" applyFill="1" applyBorder="1" applyAlignment="1" applyProtection="1">
      <alignment/>
      <protection hidden="1"/>
    </xf>
    <xf numFmtId="0" fontId="1" fillId="35" borderId="4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24" xfId="84" applyFont="1" applyFill="1" applyBorder="1" applyProtection="1">
      <alignment/>
      <protection hidden="1"/>
    </xf>
    <xf numFmtId="0" fontId="60" fillId="0" borderId="31" xfId="84" applyFont="1" applyFill="1" applyBorder="1" applyAlignment="1" applyProtection="1">
      <alignment horizontal="center" vertical="center"/>
      <protection hidden="1"/>
    </xf>
    <xf numFmtId="0" fontId="60" fillId="0" borderId="43" xfId="0" applyNumberFormat="1" applyFont="1" applyFill="1" applyBorder="1" applyAlignment="1" applyProtection="1">
      <alignment horizontal="center" vertical="center"/>
      <protection hidden="1"/>
    </xf>
    <xf numFmtId="0" fontId="60" fillId="0" borderId="0" xfId="84" applyFont="1" applyFill="1" applyBorder="1" applyProtection="1">
      <alignment/>
      <protection hidden="1"/>
    </xf>
    <xf numFmtId="0" fontId="60" fillId="0" borderId="43" xfId="0" applyFont="1" applyFill="1" applyBorder="1" applyAlignment="1" applyProtection="1">
      <alignment/>
      <protection hidden="1"/>
    </xf>
    <xf numFmtId="0" fontId="60" fillId="0" borderId="43" xfId="84" applyFont="1" applyFill="1" applyBorder="1" applyProtection="1">
      <alignment/>
      <protection hidden="1"/>
    </xf>
    <xf numFmtId="0" fontId="60" fillId="0" borderId="43" xfId="0" applyFont="1" applyFill="1" applyBorder="1" applyAlignment="1" applyProtection="1">
      <alignment horizontal="center" vertical="center"/>
      <protection hidden="1"/>
    </xf>
    <xf numFmtId="0" fontId="60" fillId="0" borderId="43" xfId="0" applyNumberFormat="1" applyFont="1" applyFill="1" applyBorder="1" applyAlignment="1" applyProtection="1">
      <alignment/>
      <protection hidden="1"/>
    </xf>
    <xf numFmtId="0" fontId="60" fillId="0" borderId="0" xfId="0" applyNumberFormat="1" applyFont="1" applyFill="1" applyBorder="1" applyAlignment="1" applyProtection="1">
      <alignment horizontal="center"/>
      <protection hidden="1"/>
    </xf>
    <xf numFmtId="0" fontId="60" fillId="0" borderId="0" xfId="0" applyNumberFormat="1" applyFont="1" applyFill="1" applyBorder="1" applyAlignment="1" applyProtection="1">
      <alignment/>
      <protection hidden="1"/>
    </xf>
    <xf numFmtId="0" fontId="60" fillId="0" borderId="44" xfId="0" applyNumberFormat="1" applyFont="1" applyFill="1" applyBorder="1" applyAlignment="1" applyProtection="1">
      <alignment horizontal="center" vertical="center"/>
      <protection hidden="1"/>
    </xf>
    <xf numFmtId="0" fontId="60" fillId="0" borderId="45" xfId="0" applyNumberFormat="1" applyFont="1" applyFill="1" applyBorder="1" applyAlignment="1" applyProtection="1">
      <alignment horizontal="center" vertical="center"/>
      <protection hidden="1"/>
    </xf>
    <xf numFmtId="0" fontId="60" fillId="0" borderId="31" xfId="0" applyFont="1" applyFill="1" applyBorder="1" applyAlignment="1" applyProtection="1">
      <alignment/>
      <protection hidden="1"/>
    </xf>
    <xf numFmtId="0" fontId="60" fillId="0" borderId="32" xfId="0" applyFont="1" applyFill="1" applyBorder="1" applyAlignment="1" applyProtection="1">
      <alignment/>
      <protection hidden="1"/>
    </xf>
    <xf numFmtId="0" fontId="60" fillId="0" borderId="34" xfId="0" applyFont="1" applyFill="1" applyBorder="1" applyAlignment="1" applyProtection="1">
      <alignment/>
      <protection hidden="1"/>
    </xf>
    <xf numFmtId="0" fontId="60" fillId="0" borderId="34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45" xfId="0" applyNumberFormat="1" applyFont="1" applyFill="1" applyBorder="1" applyAlignment="1" applyProtection="1">
      <alignment/>
      <protection hidden="1"/>
    </xf>
    <xf numFmtId="0" fontId="60" fillId="0" borderId="45" xfId="0" applyFont="1" applyFill="1" applyBorder="1" applyAlignment="1" applyProtection="1">
      <alignment/>
      <protection hidden="1"/>
    </xf>
    <xf numFmtId="0" fontId="60" fillId="0" borderId="46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0" fillId="0" borderId="24" xfId="84" applyFont="1" applyFill="1" applyBorder="1" applyAlignment="1" applyProtection="1">
      <alignment horizontal="center" vertical="center" wrapText="1"/>
      <protection hidden="1"/>
    </xf>
    <xf numFmtId="0" fontId="60" fillId="0" borderId="31" xfId="84" applyFont="1" applyFill="1" applyBorder="1" applyAlignment="1" applyProtection="1">
      <alignment horizontal="center" vertical="center" wrapText="1"/>
      <protection hidden="1"/>
    </xf>
    <xf numFmtId="0" fontId="60" fillId="0" borderId="32" xfId="84" applyFont="1" applyFill="1" applyBorder="1" applyAlignment="1" applyProtection="1">
      <alignment horizontal="center" vertical="center" wrapText="1"/>
      <protection hidden="1"/>
    </xf>
    <xf numFmtId="0" fontId="60" fillId="0" borderId="43" xfId="84" applyFont="1" applyFill="1" applyBorder="1" applyAlignment="1" applyProtection="1">
      <alignment horizontal="center" vertical="center" wrapText="1"/>
      <protection hidden="1"/>
    </xf>
    <xf numFmtId="0" fontId="60" fillId="0" borderId="34" xfId="84" applyFont="1" applyFill="1" applyBorder="1" applyAlignment="1" applyProtection="1">
      <alignment horizontal="center" vertical="center" wrapText="1"/>
      <protection hidden="1"/>
    </xf>
    <xf numFmtId="0" fontId="60" fillId="0" borderId="44" xfId="84" applyFont="1" applyFill="1" applyBorder="1" applyAlignment="1" applyProtection="1">
      <alignment horizontal="center" vertical="center" wrapText="1"/>
      <protection hidden="1"/>
    </xf>
    <xf numFmtId="176" fontId="60" fillId="0" borderId="45" xfId="84" applyNumberFormat="1" applyFont="1" applyFill="1" applyBorder="1" applyAlignment="1" applyProtection="1">
      <alignment horizontal="center" vertical="center" wrapText="1"/>
      <protection hidden="1"/>
    </xf>
    <xf numFmtId="0" fontId="60" fillId="0" borderId="46" xfId="84" applyFont="1" applyFill="1" applyBorder="1" applyAlignment="1" applyProtection="1">
      <alignment horizontal="center" vertical="center" wrapText="1"/>
      <protection hidden="1"/>
    </xf>
  </cellXfs>
  <cellStyles count="84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标题 4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标题 6" xfId="42"/>
    <cellStyle name="60% - 强调文字颜色 4" xfId="43"/>
    <cellStyle name="输出" xfId="44"/>
    <cellStyle name="计算" xfId="45"/>
    <cellStyle name="检查单元格" xfId="46"/>
    <cellStyle name="标题 1 3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标题 1 2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20% - 强调文字颜色 2" xfId="61"/>
    <cellStyle name="输出 2" xfId="62"/>
    <cellStyle name="40% - 强调文字颜色 2" xfId="63"/>
    <cellStyle name="好 3" xfId="64"/>
    <cellStyle name="强调文字颜色 3" xfId="65"/>
    <cellStyle name="强调文字颜色 4" xfId="66"/>
    <cellStyle name="20% - 强调文字颜色 4" xfId="67"/>
    <cellStyle name="40% - 强调文字颜色 4" xfId="68"/>
    <cellStyle name="计算 3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标题 2 2" xfId="77"/>
    <cellStyle name="标题 2 3" xfId="78"/>
    <cellStyle name="标题 3 2" xfId="79"/>
    <cellStyle name="标题 3 3" xfId="80"/>
    <cellStyle name="差 3" xfId="81"/>
    <cellStyle name="标题 4 2" xfId="82"/>
    <cellStyle name="差 2" xfId="83"/>
    <cellStyle name="常规 2" xfId="84"/>
    <cellStyle name="汇总 3" xfId="85"/>
    <cellStyle name="检查单元格 2" xfId="86"/>
    <cellStyle name="检查单元格 3" xfId="87"/>
    <cellStyle name="解释性文本 2" xfId="88"/>
    <cellStyle name="解释性文本 3" xfId="89"/>
    <cellStyle name="警告文本 2" xfId="90"/>
    <cellStyle name="警告文本 3" xfId="91"/>
    <cellStyle name="链接单元格 2" xfId="92"/>
    <cellStyle name="适中 3" xfId="93"/>
    <cellStyle name="输入 2" xfId="94"/>
    <cellStyle name="输入 3" xfId="95"/>
    <cellStyle name="注释 2" xfId="96"/>
    <cellStyle name="注释 3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75"/>
          <c:w val="0.95425"/>
          <c:h val="0.9075"/>
        </c:manualLayout>
      </c:layout>
      <c:scatterChart>
        <c:scatterStyle val="lineMarker"/>
        <c:varyColors val="0"/>
        <c:ser>
          <c:idx val="0"/>
          <c:order val="0"/>
          <c:tx>
            <c:v>左上声束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单通道设置!#REF!</c:f>
            </c:strRef>
          </c:xVal>
          <c:yVal>
            <c:numRef>
              <c:f>单通道设置!#REF!</c:f>
            </c:numRef>
          </c:yVal>
          <c:smooth val="0"/>
        </c:ser>
        <c:ser>
          <c:idx val="1"/>
          <c:order val="1"/>
          <c:tx>
            <c:v>左下声束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单通道设置!#REF!</c:f>
            </c:strRef>
          </c:xVal>
          <c:yVal>
            <c:numRef>
              <c:f>单通道设置!#REF!</c:f>
            </c:numRef>
          </c:yVal>
          <c:smooth val="0"/>
        </c:ser>
        <c:ser>
          <c:idx val="2"/>
          <c:order val="2"/>
          <c:tx>
            <c:v>右上声束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单通道设置!#REF!</c:f>
            </c:strRef>
          </c:xVal>
          <c:yVal>
            <c:numRef>
              <c:f>单通道设置!#REF!</c:f>
            </c:numRef>
          </c:yVal>
          <c:smooth val="0"/>
        </c:ser>
        <c:ser>
          <c:idx val="3"/>
          <c:order val="3"/>
          <c:tx>
            <c:v>右下声束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单通道设置!#REF!</c:f>
            </c:strRef>
          </c:xVal>
          <c:yVal>
            <c:numRef>
              <c:f>单通道设置!#REF!</c:f>
            </c:numRef>
          </c:yVal>
          <c:smooth val="0"/>
        </c:ser>
        <c:ser>
          <c:idx val="4"/>
          <c:order val="4"/>
          <c:tx>
            <c:strRef>
              <c:f>单通道设置!#REF!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单通道设置!#REF!</c:f>
            </c:strRef>
          </c:xVal>
          <c:yVal>
            <c:numRef>
              <c:f>单通道设置!#REF!</c:f>
            </c:numRef>
          </c:yVal>
          <c:smooth val="0"/>
        </c:ser>
        <c:ser>
          <c:idx val="5"/>
          <c:order val="5"/>
          <c:tx>
            <c:strRef>
              <c:f>单通道设置!#REF!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单通道设置!#REF!</c:f>
            </c:strRef>
          </c:xVal>
          <c:yVal>
            <c:numRef>
              <c:f>单通道设置!#REF!</c:f>
            </c:numRef>
          </c:yVal>
          <c:smooth val="0"/>
        </c:ser>
        <c:ser>
          <c:idx val="6"/>
          <c:order val="6"/>
          <c:tx>
            <c:v>探头1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单通道设置!#REF!</c:f>
            </c:strRef>
          </c:xVal>
          <c:yVal>
            <c:numRef>
              <c:f>单通道设置!#REF!</c:f>
            </c:numRef>
          </c:yVal>
          <c:smooth val="0"/>
        </c:ser>
        <c:ser>
          <c:idx val="7"/>
          <c:order val="7"/>
          <c:tx>
            <c:v>探头2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单通道设置!#REF!</c:f>
            </c:strRef>
          </c:xVal>
          <c:yVal>
            <c:numRef>
              <c:f>单通道设置!#REF!</c:f>
            </c:numRef>
          </c:yVal>
          <c:smooth val="0"/>
        </c:ser>
        <c:ser>
          <c:idx val="8"/>
          <c:order val="8"/>
          <c:tx>
            <c:strRef>
              <c:f>'单通道设置'!$R$97</c:f>
              <c:strCache>
                <c:ptCount val="1"/>
                <c:pt idx="0">
                  <c:v>上工件表面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'单通道设置'!$S$97:$S$98</c:f>
            </c:numRef>
          </c:xVal>
          <c:yVal>
            <c:numRef>
              <c:f>'单通道设置'!$T$97:$T$98</c:f>
            </c:numRef>
          </c:yVal>
          <c:smooth val="0"/>
        </c:ser>
        <c:ser>
          <c:idx val="10"/>
          <c:order val="9"/>
          <c:tx>
            <c:strRef>
              <c:f>'单通道设置'!$G$40</c:f>
              <c:strCache>
                <c:ptCount val="1"/>
                <c:pt idx="0">
                  <c:v>上焊缝宽度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'单通道设置'!$H$40:$H$45</c:f>
              <c:numCache/>
            </c:numRef>
          </c:xVal>
          <c:yVal>
            <c:numRef>
              <c:f>'单通道设置'!$I$40:$I$45</c:f>
              <c:numCache/>
            </c:numRef>
          </c:yVal>
          <c:smooth val="0"/>
        </c:ser>
        <c:ser>
          <c:idx val="11"/>
          <c:order val="10"/>
          <c:tx>
            <c:strRef>
              <c:f>'单通道设置'!$J$40</c:f>
              <c:strCache>
                <c:ptCount val="1"/>
                <c:pt idx="0">
                  <c:v>下焊缝宽度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'单通道设置'!$K$40:$K$45</c:f>
              <c:numCache/>
            </c:numRef>
          </c:xVal>
          <c:yVal>
            <c:numRef>
              <c:f>'单通道设置'!$L$40:$L$45</c:f>
              <c:numCache/>
            </c:numRef>
          </c:yVal>
          <c:smooth val="0"/>
        </c:ser>
        <c:ser>
          <c:idx val="12"/>
          <c:order val="11"/>
          <c:tx>
            <c:strRef>
              <c:f>'单通道设置'!$G$29</c:f>
              <c:strCache>
                <c:ptCount val="1"/>
                <c:pt idx="0">
                  <c:v>焊缝左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'单通道设置'!$G$31:$G$38</c:f>
              <c:numCache/>
            </c:numRef>
          </c:xVal>
          <c:yVal>
            <c:numRef>
              <c:f>'单通道设置'!$H$31:$H$38</c:f>
              <c:numCache/>
            </c:numRef>
          </c:yVal>
          <c:smooth val="0"/>
        </c:ser>
        <c:ser>
          <c:idx val="13"/>
          <c:order val="12"/>
          <c:tx>
            <c:strRef>
              <c:f>'单通道设置'!$I$29</c:f>
              <c:strCache>
                <c:ptCount val="1"/>
                <c:pt idx="0">
                  <c:v>焊缝右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'单通道设置'!$I$31:$I$38</c:f>
              <c:numCache/>
            </c:numRef>
          </c:xVal>
          <c:yVal>
            <c:numRef>
              <c:f>'单通道设置'!$J$31:$J$38</c:f>
              <c:numCache/>
            </c:numRef>
          </c:yVal>
          <c:smooth val="0"/>
        </c:ser>
        <c:ser>
          <c:idx val="14"/>
          <c:order val="13"/>
          <c:tx>
            <c:strRef>
              <c:f>'单通道设置'!$E$29</c:f>
              <c:strCache>
                <c:ptCount val="1"/>
                <c:pt idx="0">
                  <c:v>左检测宽度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'单通道设置'!$E$31:$E$38</c:f>
              <c:numCache/>
            </c:numRef>
          </c:xVal>
          <c:yVal>
            <c:numRef>
              <c:f>'单通道设置'!$F$31:$F$38</c:f>
              <c:numCache/>
            </c:numRef>
          </c:yVal>
          <c:smooth val="0"/>
        </c:ser>
        <c:ser>
          <c:idx val="15"/>
          <c:order val="14"/>
          <c:tx>
            <c:strRef>
              <c:f>'单通道设置'!$K$29</c:f>
              <c:strCache>
                <c:ptCount val="1"/>
                <c:pt idx="0">
                  <c:v>右焊缝宽度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'单通道设置'!$K$31:$K$38</c:f>
              <c:numCache/>
            </c:numRef>
          </c:xVal>
          <c:yVal>
            <c:numRef>
              <c:f>'单通道设置'!$L$31:$L$38</c:f>
              <c:numCache/>
            </c:numRef>
          </c:yVal>
          <c:smooth val="0"/>
        </c:ser>
        <c:ser>
          <c:idx val="20"/>
          <c:order val="15"/>
          <c:tx>
            <c:strRef>
              <c:f>'单通道设置'!$N$41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'单通道设置'!$O$41:$S$41</c:f>
              <c:numCache/>
            </c:numRef>
          </c:xVal>
          <c:yVal>
            <c:numRef>
              <c:f>'单通道设置'!$O$43:$S$43</c:f>
              <c:numCache/>
            </c:numRef>
          </c:yVal>
          <c:smooth val="0"/>
        </c:ser>
        <c:ser>
          <c:idx val="16"/>
          <c:order val="16"/>
          <c:tx>
            <c:strRef>
              <c:f>'单通道设置'!$O$30</c:f>
              <c:strCache>
                <c:ptCount val="1"/>
                <c:pt idx="0">
                  <c:v>一次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'单通道设置'!$P$30:$Q$30</c:f>
              <c:numCache/>
            </c:numRef>
          </c:xVal>
          <c:yVal>
            <c:numRef>
              <c:f>'单通道设置'!$R$30:$S$30</c:f>
              <c:numCache/>
            </c:numRef>
          </c:yVal>
          <c:smooth val="0"/>
        </c:ser>
        <c:ser>
          <c:idx val="17"/>
          <c:order val="17"/>
          <c:tx>
            <c:strRef>
              <c:f>'单通道设置'!$O$32</c:f>
              <c:strCache>
                <c:ptCount val="1"/>
                <c:pt idx="0">
                  <c:v>一次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'单通道设置'!$P$32:$Q$32</c:f>
              <c:numCache/>
            </c:numRef>
          </c:xVal>
          <c:yVal>
            <c:numRef>
              <c:f>'单通道设置'!$R$32:$S$32</c:f>
              <c:numCache/>
            </c:numRef>
          </c:yVal>
          <c:smooth val="0"/>
        </c:ser>
        <c:ser>
          <c:idx val="18"/>
          <c:order val="18"/>
          <c:tx>
            <c:strRef>
              <c:f>'单通道设置'!$O$33</c:f>
              <c:strCache>
                <c:ptCount val="1"/>
                <c:pt idx="0">
                  <c:v>二次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'单通道设置'!$P$33:$Q$33</c:f>
              <c:numCache/>
            </c:numRef>
          </c:xVal>
          <c:yVal>
            <c:numRef>
              <c:f>'单通道设置'!$R$33:$S$33</c:f>
              <c:numCache/>
            </c:numRef>
          </c:yVal>
          <c:smooth val="0"/>
        </c:ser>
        <c:ser>
          <c:idx val="19"/>
          <c:order val="19"/>
          <c:tx>
            <c:strRef>
              <c:f>'单通道设置'!$O$31</c:f>
              <c:strCache>
                <c:ptCount val="1"/>
                <c:pt idx="0">
                  <c:v>二次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'单通道设置'!$P$31:$Q$31</c:f>
              <c:numCache/>
            </c:numRef>
          </c:xVal>
          <c:yVal>
            <c:numRef>
              <c:f>'单通道设置'!$R$31:$S$31</c:f>
              <c:numCache/>
            </c:numRef>
          </c:yVal>
          <c:smooth val="0"/>
        </c:ser>
        <c:ser>
          <c:idx val="22"/>
          <c:order val="20"/>
          <c:tx>
            <c:strRef>
              <c:f>'单通道设置'!$N$37</c:f>
              <c:strCache>
                <c:ptCount val="1"/>
                <c:pt idx="0">
                  <c:v>大角度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'单通道设置'!$P$37:$Q$37</c:f>
              <c:numCache/>
            </c:numRef>
          </c:xVal>
          <c:yVal>
            <c:numRef>
              <c:f>'单通道设置'!$R$37:$S$37</c:f>
              <c:numCache/>
            </c:numRef>
          </c:yVal>
          <c:smooth val="0"/>
        </c:ser>
        <c:ser>
          <c:idx val="23"/>
          <c:order val="21"/>
          <c:tx>
            <c:strRef>
              <c:f>'单通道设置'!$N$38</c:f>
              <c:strCache>
                <c:ptCount val="1"/>
                <c:pt idx="0">
                  <c:v>小角度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'单通道设置'!$P$38:$Q$38</c:f>
              <c:numCache/>
            </c:numRef>
          </c:xVal>
          <c:yVal>
            <c:numRef>
              <c:f>'单通道设置'!$R$38:$S$38</c:f>
              <c:numCache/>
            </c:numRef>
          </c:yVal>
          <c:smooth val="0"/>
        </c:ser>
        <c:ser>
          <c:idx val="24"/>
          <c:order val="22"/>
          <c:tx>
            <c:strRef>
              <c:f>'单通道设置'!$N$39</c:f>
              <c:strCache>
                <c:ptCount val="1"/>
                <c:pt idx="0">
                  <c:v>指针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'单通道设置'!$P$39:$Q$39</c:f>
              <c:numCache/>
            </c:numRef>
          </c:xVal>
          <c:yVal>
            <c:numRef>
              <c:f>'单通道设置'!$R$39:$S$39</c:f>
              <c:numCache/>
            </c:numRef>
          </c:yVal>
          <c:smooth val="0"/>
        </c:ser>
        <c:ser>
          <c:idx val="25"/>
          <c:order val="23"/>
          <c:tx>
            <c:strRef>
              <c:f>'单通道设置'!$O$34</c:f>
              <c:strCache>
                <c:ptCount val="1"/>
                <c:pt idx="0">
                  <c:v>一次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'单通道设置'!$P$34:$Q$34</c:f>
              <c:numCache/>
            </c:numRef>
          </c:xVal>
          <c:yVal>
            <c:numRef>
              <c:f>'单通道设置'!$R$34:$S$34</c:f>
              <c:numCache/>
            </c:numRef>
          </c:yVal>
          <c:smooth val="0"/>
        </c:ser>
        <c:ser>
          <c:idx val="26"/>
          <c:order val="24"/>
          <c:tx>
            <c:strRef>
              <c:f>'单通道设置'!$O$35</c:f>
              <c:strCache>
                <c:ptCount val="1"/>
                <c:pt idx="0">
                  <c:v>二次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'单通道设置'!$P$35:$Q$35</c:f>
              <c:numCache/>
            </c:numRef>
          </c:xVal>
          <c:yVal>
            <c:numRef>
              <c:f>'单通道设置'!$R$35:$S$35</c:f>
              <c:numCache/>
            </c:numRef>
          </c:yVal>
          <c:smooth val="0"/>
        </c:ser>
        <c:ser>
          <c:idx val="21"/>
          <c:order val="25"/>
          <c:tx>
            <c:strRef>
              <c:f>'单通道设置'!$D$47</c:f>
              <c:strCache>
                <c:ptCount val="1"/>
                <c:pt idx="0">
                  <c:v>缺陷1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'单通道设置'!$E$47:$F$47</c:f>
              <c:numCache/>
            </c:numRef>
          </c:xVal>
          <c:yVal>
            <c:numRef>
              <c:f>'单通道设置'!$G$47:$H$47</c:f>
              <c:numCache/>
            </c:numRef>
          </c:yVal>
          <c:smooth val="0"/>
        </c:ser>
        <c:ser>
          <c:idx val="9"/>
          <c:order val="26"/>
          <c:tx>
            <c:strRef>
              <c:f>'单通道设置'!$D$41</c:f>
              <c:strCache>
                <c:ptCount val="1"/>
                <c:pt idx="0">
                  <c:v>上工件表面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'单通道设置'!$E$41:$E$42</c:f>
              <c:numCache/>
            </c:numRef>
          </c:xVal>
          <c:yVal>
            <c:numRef>
              <c:f>'单通道设置'!$F$41:$F$42</c:f>
              <c:numCache/>
            </c:numRef>
          </c:yVal>
          <c:smooth val="0"/>
        </c:ser>
        <c:ser>
          <c:idx val="27"/>
          <c:order val="27"/>
          <c:tx>
            <c:strRef>
              <c:f>'单通道设置'!$D$43</c:f>
              <c:strCache>
                <c:ptCount val="1"/>
                <c:pt idx="0">
                  <c:v>下工件表面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'单通道设置'!$E$43:$E$44</c:f>
              <c:numCache/>
            </c:numRef>
          </c:xVal>
          <c:yVal>
            <c:numRef>
              <c:f>'单通道设置'!$F$43:$F$44</c:f>
              <c:numCache/>
            </c:numRef>
          </c:yVal>
          <c:smooth val="0"/>
        </c:ser>
        <c:axId val="6201340"/>
        <c:axId val="55812061"/>
      </c:scatterChart>
      <c:valAx>
        <c:axId val="620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812061"/>
        <c:crosses val="autoZero"/>
        <c:crossBetween val="midCat"/>
        <c:dispUnits/>
        <c:minorUnit val="1"/>
      </c:valAx>
      <c:valAx>
        <c:axId val="55812061"/>
        <c:scaling>
          <c:orientation val="minMax"/>
        </c:scaling>
        <c:axPos val="l"/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808080"/>
            </a:solidFill>
            <a:prstDash val="dash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01340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238125</xdr:rowOff>
    </xdr:from>
    <xdr:to>
      <xdr:col>20</xdr:col>
      <xdr:colOff>619125</xdr:colOff>
      <xdr:row>21</xdr:row>
      <xdr:rowOff>0</xdr:rowOff>
    </xdr:to>
    <xdr:graphicFrame>
      <xdr:nvGraphicFramePr>
        <xdr:cNvPr id="1" name="Chart 35"/>
        <xdr:cNvGraphicFramePr/>
      </xdr:nvGraphicFramePr>
      <xdr:xfrm>
        <a:off x="1495425" y="2609850"/>
        <a:ext cx="85058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J102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2.75390625" style="8" customWidth="1"/>
    <col min="2" max="2" width="2.50390625" style="8" customWidth="1"/>
    <col min="3" max="3" width="5.125" style="8" customWidth="1"/>
    <col min="4" max="4" width="9.25390625" style="8" customWidth="1"/>
    <col min="5" max="5" width="9.00390625" style="8" customWidth="1"/>
    <col min="6" max="6" width="4.00390625" style="8" customWidth="1"/>
    <col min="7" max="7" width="6.375" style="8" customWidth="1"/>
    <col min="8" max="8" width="10.00390625" style="8" customWidth="1"/>
    <col min="9" max="9" width="7.125" style="8" customWidth="1"/>
    <col min="10" max="10" width="3.125" style="8" customWidth="1"/>
    <col min="11" max="11" width="5.625" style="8" customWidth="1"/>
    <col min="12" max="12" width="6.875" style="8" customWidth="1"/>
    <col min="13" max="13" width="7.375" style="8" customWidth="1"/>
    <col min="14" max="14" width="3.25390625" style="8" customWidth="1"/>
    <col min="15" max="15" width="6.25390625" style="8" customWidth="1"/>
    <col min="16" max="16" width="7.125" style="8" customWidth="1"/>
    <col min="17" max="17" width="7.25390625" style="8" customWidth="1"/>
    <col min="18" max="18" width="3.375" style="8" customWidth="1"/>
    <col min="19" max="19" width="8.625" style="8" customWidth="1"/>
    <col min="20" max="20" width="8.125" style="8" customWidth="1"/>
    <col min="21" max="21" width="8.375" style="8" customWidth="1"/>
    <col min="22" max="22" width="5.50390625" style="8" customWidth="1"/>
    <col min="23" max="23" width="6.00390625" style="8" customWidth="1"/>
    <col min="24" max="24" width="6.125" style="8" customWidth="1"/>
    <col min="25" max="25" width="6.75390625" style="9" customWidth="1"/>
    <col min="26" max="26" width="5.375" style="9" customWidth="1"/>
    <col min="27" max="27" width="5.25390625" style="9" customWidth="1"/>
    <col min="28" max="28" width="5.875" style="9" customWidth="1"/>
    <col min="29" max="29" width="7.00390625" style="9" customWidth="1"/>
    <col min="30" max="30" width="5.625" style="9" customWidth="1"/>
    <col min="31" max="31" width="4.50390625" style="9" customWidth="1"/>
    <col min="32" max="33" width="5.625" style="9" customWidth="1"/>
    <col min="34" max="52" width="9.00390625" style="9" customWidth="1"/>
    <col min="53" max="16384" width="9.00390625" style="8" customWidth="1"/>
  </cols>
  <sheetData>
    <row r="1" spans="1:22" s="1" customFormat="1" ht="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0"/>
    </row>
    <row r="2" spans="1:31" s="2" customFormat="1" ht="35.25" customHeight="1">
      <c r="A2" s="12"/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83"/>
      <c r="V2" s="84"/>
      <c r="W2" s="85"/>
      <c r="X2" s="85"/>
      <c r="Y2" s="85"/>
      <c r="Z2" s="85"/>
      <c r="AA2" s="85"/>
      <c r="AB2" s="85"/>
      <c r="AC2" s="85"/>
      <c r="AD2" s="85"/>
      <c r="AE2" s="98"/>
    </row>
    <row r="3" spans="1:31" s="2" customFormat="1" ht="19.5" customHeight="1">
      <c r="A3" s="12"/>
      <c r="B3" s="15" t="s">
        <v>1</v>
      </c>
      <c r="C3" s="16"/>
      <c r="D3" s="17" t="s">
        <v>2</v>
      </c>
      <c r="E3" s="18">
        <v>30</v>
      </c>
      <c r="F3" s="19"/>
      <c r="G3" s="20" t="s">
        <v>3</v>
      </c>
      <c r="H3" s="19" t="s">
        <v>4</v>
      </c>
      <c r="I3" s="70">
        <v>1</v>
      </c>
      <c r="J3" s="71"/>
      <c r="K3" s="72" t="s">
        <v>5</v>
      </c>
      <c r="L3" s="72"/>
      <c r="M3" s="72"/>
      <c r="N3" s="71"/>
      <c r="O3" s="72" t="s">
        <v>6</v>
      </c>
      <c r="P3" s="72"/>
      <c r="Q3" s="72"/>
      <c r="R3" s="71"/>
      <c r="S3" s="86" t="s">
        <v>7</v>
      </c>
      <c r="T3" s="86"/>
      <c r="U3" s="87"/>
      <c r="V3" s="12"/>
      <c r="AE3" s="99"/>
    </row>
    <row r="4" spans="1:22" s="2" customFormat="1" ht="19.5" customHeight="1">
      <c r="A4" s="12"/>
      <c r="B4" s="21"/>
      <c r="C4" s="22"/>
      <c r="D4" s="23" t="s">
        <v>8</v>
      </c>
      <c r="E4" s="24">
        <v>54</v>
      </c>
      <c r="F4" s="23"/>
      <c r="G4" s="25"/>
      <c r="H4" s="23" t="s">
        <v>9</v>
      </c>
      <c r="I4" s="73">
        <f>E3</f>
        <v>30</v>
      </c>
      <c r="J4" s="74"/>
      <c r="K4" s="23" t="s">
        <v>10</v>
      </c>
      <c r="L4" s="23"/>
      <c r="M4" s="75">
        <v>40</v>
      </c>
      <c r="N4" s="74"/>
      <c r="O4" s="23" t="s">
        <v>11</v>
      </c>
      <c r="P4" s="23"/>
      <c r="Q4" s="75">
        <v>30</v>
      </c>
      <c r="R4" s="74"/>
      <c r="S4" s="88" t="s">
        <v>12</v>
      </c>
      <c r="T4" s="88"/>
      <c r="U4" s="89">
        <v>20</v>
      </c>
      <c r="V4" s="12"/>
    </row>
    <row r="5" spans="1:22" s="2" customFormat="1" ht="19.5" customHeight="1">
      <c r="A5" s="12"/>
      <c r="B5" s="21"/>
      <c r="C5" s="22"/>
      <c r="D5" s="23" t="s">
        <v>13</v>
      </c>
      <c r="E5" s="26">
        <v>2</v>
      </c>
      <c r="F5" s="23"/>
      <c r="G5" s="25"/>
      <c r="H5" s="23" t="s">
        <v>14</v>
      </c>
      <c r="I5" s="75">
        <v>25</v>
      </c>
      <c r="J5" s="74"/>
      <c r="K5" s="23" t="s">
        <v>15</v>
      </c>
      <c r="L5" s="23"/>
      <c r="M5" s="75">
        <v>2</v>
      </c>
      <c r="N5" s="74"/>
      <c r="O5" s="23" t="s">
        <v>16</v>
      </c>
      <c r="P5" s="23"/>
      <c r="Q5" s="75">
        <v>5</v>
      </c>
      <c r="R5" s="74"/>
      <c r="S5" s="88" t="s">
        <v>17</v>
      </c>
      <c r="T5" s="88"/>
      <c r="U5" s="89">
        <v>10</v>
      </c>
      <c r="V5" s="12"/>
    </row>
    <row r="6" spans="1:22" s="2" customFormat="1" ht="19.5" customHeight="1">
      <c r="A6" s="12"/>
      <c r="B6" s="21"/>
      <c r="C6" s="22"/>
      <c r="D6" s="23" t="s">
        <v>18</v>
      </c>
      <c r="E6" s="24">
        <v>3240</v>
      </c>
      <c r="F6" s="23"/>
      <c r="G6" s="25"/>
      <c r="H6" s="23" t="s">
        <v>19</v>
      </c>
      <c r="I6" s="75">
        <v>2</v>
      </c>
      <c r="J6" s="74"/>
      <c r="K6" s="23" t="s">
        <v>20</v>
      </c>
      <c r="L6" s="23"/>
      <c r="M6" s="75">
        <v>2</v>
      </c>
      <c r="N6" s="74"/>
      <c r="O6" s="23" t="s">
        <v>15</v>
      </c>
      <c r="P6" s="23"/>
      <c r="Q6" s="75">
        <v>3</v>
      </c>
      <c r="R6" s="74"/>
      <c r="S6" s="88" t="s">
        <v>15</v>
      </c>
      <c r="T6" s="88"/>
      <c r="U6" s="89">
        <v>2</v>
      </c>
      <c r="V6" s="12"/>
    </row>
    <row r="7" spans="1:22" s="2" customFormat="1" ht="19.5" customHeight="1">
      <c r="A7" s="12"/>
      <c r="B7" s="21"/>
      <c r="C7" s="22"/>
      <c r="D7" s="27" t="s">
        <v>21</v>
      </c>
      <c r="E7" s="24">
        <v>70</v>
      </c>
      <c r="F7" s="23"/>
      <c r="G7" s="25"/>
      <c r="H7" s="23" t="s">
        <v>22</v>
      </c>
      <c r="I7" s="75">
        <v>18</v>
      </c>
      <c r="J7" s="74"/>
      <c r="K7" s="23" t="s">
        <v>23</v>
      </c>
      <c r="L7" s="23"/>
      <c r="M7" s="75">
        <v>0</v>
      </c>
      <c r="N7" s="74"/>
      <c r="O7" s="23" t="s">
        <v>20</v>
      </c>
      <c r="P7" s="23"/>
      <c r="Q7" s="75">
        <v>2</v>
      </c>
      <c r="R7" s="74"/>
      <c r="S7" s="23" t="s">
        <v>20</v>
      </c>
      <c r="T7" s="23"/>
      <c r="U7" s="89">
        <v>2</v>
      </c>
      <c r="V7" s="12"/>
    </row>
    <row r="8" spans="1:22" s="2" customFormat="1" ht="19.5" customHeight="1">
      <c r="A8" s="12"/>
      <c r="B8" s="21"/>
      <c r="C8" s="22"/>
      <c r="D8" s="27" t="s">
        <v>24</v>
      </c>
      <c r="E8" s="24">
        <v>40</v>
      </c>
      <c r="F8" s="23"/>
      <c r="G8" s="25"/>
      <c r="H8" s="23"/>
      <c r="I8" s="75"/>
      <c r="J8" s="74"/>
      <c r="K8" s="23" t="s">
        <v>25</v>
      </c>
      <c r="L8" s="23"/>
      <c r="M8" s="75">
        <v>0</v>
      </c>
      <c r="N8" s="74"/>
      <c r="O8" s="23" t="s">
        <v>23</v>
      </c>
      <c r="P8" s="23"/>
      <c r="Q8" s="75">
        <v>0</v>
      </c>
      <c r="R8" s="74"/>
      <c r="S8" s="23" t="s">
        <v>23</v>
      </c>
      <c r="T8" s="23"/>
      <c r="U8" s="89">
        <v>20</v>
      </c>
      <c r="V8" s="12"/>
    </row>
    <row r="9" spans="1:22" s="2" customFormat="1" ht="19.5" customHeight="1">
      <c r="A9" s="12"/>
      <c r="B9" s="21"/>
      <c r="C9" s="22"/>
      <c r="D9" s="27" t="s">
        <v>26</v>
      </c>
      <c r="E9" s="24">
        <v>13</v>
      </c>
      <c r="F9" s="23"/>
      <c r="G9" s="25"/>
      <c r="H9" s="28" t="s">
        <v>27</v>
      </c>
      <c r="I9" s="76"/>
      <c r="J9" s="76"/>
      <c r="K9" s="76"/>
      <c r="L9" s="76"/>
      <c r="M9" s="76"/>
      <c r="N9" s="77"/>
      <c r="O9" s="23" t="s">
        <v>25</v>
      </c>
      <c r="P9" s="23"/>
      <c r="Q9" s="75">
        <v>50</v>
      </c>
      <c r="R9" s="74"/>
      <c r="S9" s="23" t="s">
        <v>28</v>
      </c>
      <c r="T9" s="23"/>
      <c r="U9" s="89">
        <v>20</v>
      </c>
      <c r="V9" s="12"/>
    </row>
    <row r="10" spans="1:22" s="2" customFormat="1" ht="19.5" customHeight="1">
      <c r="A10" s="12"/>
      <c r="B10" s="29"/>
      <c r="C10" s="30"/>
      <c r="D10" s="31" t="s">
        <v>29</v>
      </c>
      <c r="E10" s="32">
        <v>5</v>
      </c>
      <c r="F10" s="33"/>
      <c r="G10" s="34"/>
      <c r="H10" s="35"/>
      <c r="I10" s="78"/>
      <c r="J10" s="78"/>
      <c r="K10" s="78"/>
      <c r="L10" s="78"/>
      <c r="M10" s="78"/>
      <c r="N10" s="79"/>
      <c r="O10" s="33"/>
      <c r="P10" s="33"/>
      <c r="Q10" s="90"/>
      <c r="R10" s="91"/>
      <c r="S10" s="33" t="s">
        <v>30</v>
      </c>
      <c r="T10" s="33"/>
      <c r="U10" s="92">
        <v>5</v>
      </c>
      <c r="V10" s="12"/>
    </row>
    <row r="11" spans="1:31" s="2" customFormat="1" ht="19.5" customHeight="1">
      <c r="A11" s="12"/>
      <c r="B11" s="36" t="s">
        <v>31</v>
      </c>
      <c r="C11" s="37"/>
      <c r="D11" s="38" t="b"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93"/>
      <c r="V11" s="12"/>
      <c r="AE11" s="99"/>
    </row>
    <row r="12" spans="1:31" s="3" customFormat="1" ht="23.25" customHeight="1">
      <c r="A12" s="40"/>
      <c r="B12" s="41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94"/>
      <c r="V12" s="40"/>
      <c r="AA12" s="100"/>
      <c r="AB12" s="100"/>
      <c r="AC12" s="100"/>
      <c r="AD12" s="100"/>
      <c r="AE12" s="98"/>
    </row>
    <row r="13" spans="1:27" s="4" customFormat="1" ht="15" customHeight="1">
      <c r="A13" s="45"/>
      <c r="B13" s="46" t="s">
        <v>32</v>
      </c>
      <c r="C13" s="27"/>
      <c r="D13" s="47">
        <v>89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95"/>
      <c r="V13" s="45"/>
      <c r="AA13" s="101"/>
    </row>
    <row r="14" spans="1:27" s="4" customFormat="1" ht="15" customHeight="1">
      <c r="A14" s="45"/>
      <c r="B14" s="46"/>
      <c r="C14" s="27"/>
      <c r="D14" s="4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96"/>
      <c r="V14" s="45"/>
      <c r="AA14" s="101"/>
    </row>
    <row r="15" spans="1:27" s="4" customFormat="1" ht="15" customHeight="1">
      <c r="A15" s="45"/>
      <c r="B15" s="46" t="s">
        <v>33</v>
      </c>
      <c r="C15" s="27"/>
      <c r="D15" s="47">
        <v>20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96"/>
      <c r="V15" s="45"/>
      <c r="AA15" s="101"/>
    </row>
    <row r="16" spans="1:27" s="4" customFormat="1" ht="15" customHeight="1">
      <c r="A16" s="45"/>
      <c r="B16" s="46"/>
      <c r="C16" s="27"/>
      <c r="D16" s="4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96"/>
      <c r="V16" s="45"/>
      <c r="AA16" s="101"/>
    </row>
    <row r="17" spans="1:27" s="4" customFormat="1" ht="15" customHeight="1">
      <c r="A17" s="45"/>
      <c r="B17" s="46" t="s">
        <v>34</v>
      </c>
      <c r="C17" s="27"/>
      <c r="D17" s="47">
        <v>61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96"/>
      <c r="V17" s="45"/>
      <c r="AA17" s="101"/>
    </row>
    <row r="18" spans="1:22" s="4" customFormat="1" ht="15" customHeight="1">
      <c r="A18" s="45"/>
      <c r="B18" s="46"/>
      <c r="C18" s="27"/>
      <c r="D18" s="4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96"/>
      <c r="V18" s="45"/>
    </row>
    <row r="19" spans="1:22" s="4" customFormat="1" ht="15" customHeight="1">
      <c r="A19" s="45"/>
      <c r="B19" s="50"/>
      <c r="C19" s="51"/>
      <c r="D19" s="52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96"/>
      <c r="V19" s="45"/>
    </row>
    <row r="20" spans="1:22" s="4" customFormat="1" ht="15" customHeight="1">
      <c r="A20" s="45"/>
      <c r="B20" s="53"/>
      <c r="C20" s="54"/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96"/>
      <c r="V20" s="45"/>
    </row>
    <row r="21" spans="1:22" s="4" customFormat="1" ht="15" customHeight="1">
      <c r="A21" s="45"/>
      <c r="B21" s="56"/>
      <c r="C21" s="57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97"/>
      <c r="V21" s="45"/>
    </row>
    <row r="22" spans="1:22" s="4" customFormat="1" ht="15" customHeight="1">
      <c r="A22" s="45"/>
      <c r="B22" s="45"/>
      <c r="C22" s="60"/>
      <c r="D22" s="6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s="4" customFormat="1" ht="15" customHeight="1">
      <c r="A23" s="45"/>
      <c r="B23" s="45"/>
      <c r="C23" s="60"/>
      <c r="D23" s="60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4" customFormat="1" ht="15" customHeight="1">
      <c r="A24" s="45"/>
      <c r="B24" s="45"/>
      <c r="C24" s="60"/>
      <c r="D24" s="6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s="4" customFormat="1" ht="15" customHeight="1">
      <c r="A25" s="45"/>
      <c r="B25" s="45"/>
      <c r="C25" s="60"/>
      <c r="D25" s="6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s="4" customFormat="1" ht="15" customHeight="1">
      <c r="A26" s="45"/>
      <c r="B26" s="45"/>
      <c r="C26" s="60"/>
      <c r="D26" s="6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s="4" customFormat="1" ht="15" customHeight="1">
      <c r="A27" s="45"/>
      <c r="B27" s="45"/>
      <c r="C27" s="60"/>
      <c r="D27" s="60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s="4" customFormat="1" ht="15" customHeight="1">
      <c r="A28" s="45"/>
      <c r="B28" s="45"/>
      <c r="C28" s="60"/>
      <c r="D28" s="6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4:31" s="5" customFormat="1" ht="16.5" customHeight="1">
      <c r="D29" s="62" t="s">
        <v>35</v>
      </c>
      <c r="E29" s="63" t="s">
        <v>36</v>
      </c>
      <c r="F29" s="63"/>
      <c r="G29" s="64" t="s">
        <v>37</v>
      </c>
      <c r="H29" s="64"/>
      <c r="I29" s="63" t="s">
        <v>38</v>
      </c>
      <c r="J29" s="63"/>
      <c r="K29" s="63" t="s">
        <v>39</v>
      </c>
      <c r="L29" s="63"/>
      <c r="N29" s="80" t="s">
        <v>40</v>
      </c>
      <c r="O29" s="80"/>
      <c r="P29" s="80" t="s">
        <v>41</v>
      </c>
      <c r="Q29" s="80" t="s">
        <v>42</v>
      </c>
      <c r="R29" s="80" t="s">
        <v>43</v>
      </c>
      <c r="S29" s="80" t="s">
        <v>44</v>
      </c>
      <c r="AB29" s="67"/>
      <c r="AC29" s="67"/>
      <c r="AD29" s="69"/>
      <c r="AE29" s="69"/>
    </row>
    <row r="30" spans="4:29" s="5" customFormat="1" ht="16.5" customHeight="1">
      <c r="D30" s="62"/>
      <c r="E30" s="63" t="s">
        <v>45</v>
      </c>
      <c r="F30" s="63" t="s">
        <v>46</v>
      </c>
      <c r="G30" s="63" t="s">
        <v>45</v>
      </c>
      <c r="H30" s="63" t="s">
        <v>46</v>
      </c>
      <c r="I30" s="63" t="s">
        <v>45</v>
      </c>
      <c r="J30" s="63" t="s">
        <v>46</v>
      </c>
      <c r="K30" s="63" t="s">
        <v>45</v>
      </c>
      <c r="L30" s="63" t="s">
        <v>46</v>
      </c>
      <c r="N30" s="80" t="s">
        <v>47</v>
      </c>
      <c r="O30" s="80" t="s">
        <v>48</v>
      </c>
      <c r="P30" s="80">
        <f aca="true" t="shared" si="0" ref="P30:S30">T77</f>
        <v>67</v>
      </c>
      <c r="Q30" s="80">
        <f t="shared" si="0"/>
        <v>-15.424322583638656</v>
      </c>
      <c r="R30" s="80" t="str">
        <f t="shared" si="0"/>
        <v>O</v>
      </c>
      <c r="S30" s="80">
        <f t="shared" si="0"/>
        <v>-30</v>
      </c>
      <c r="AB30" s="67"/>
      <c r="AC30" s="67"/>
    </row>
    <row r="31" spans="4:29" s="5" customFormat="1" ht="16.5" customHeight="1">
      <c r="D31" s="65" t="s">
        <v>49</v>
      </c>
      <c r="E31" s="63">
        <f aca="true" t="shared" si="1" ref="E31:E38">-K31</f>
        <v>-18</v>
      </c>
      <c r="F31" s="63">
        <f aca="true" t="shared" si="2" ref="F31:F38">J31</f>
        <v>0</v>
      </c>
      <c r="G31" s="63">
        <f aca="true" t="shared" si="3" ref="G31:G38">-I31</f>
        <v>0</v>
      </c>
      <c r="H31" s="63">
        <f aca="true" t="shared" si="4" ref="H31:H38">J31</f>
        <v>0</v>
      </c>
      <c r="I31" s="63">
        <f>IF(I3=3,F93,0)</f>
        <v>0</v>
      </c>
      <c r="J31" s="63">
        <f>IF(I3=3,G93,0)</f>
        <v>0</v>
      </c>
      <c r="K31" s="63">
        <f>I31+I7</f>
        <v>18</v>
      </c>
      <c r="L31" s="63">
        <f aca="true" t="shared" si="5" ref="L31:L38">J31</f>
        <v>0</v>
      </c>
      <c r="N31" s="80"/>
      <c r="O31" s="80" t="s">
        <v>50</v>
      </c>
      <c r="P31" s="80">
        <f>IF(E5=1,0,(IF(E5=2,T78,T78)))</f>
        <v>-15.424322583638656</v>
      </c>
      <c r="Q31" s="80">
        <f>IF(E5=1,0,(IF(E5=2,U78,U78)))</f>
        <v>-97.84864516727731</v>
      </c>
      <c r="R31" s="80">
        <f>IF(E5=1,0,(IF(E5=2,V78,V78)))</f>
        <v>-30</v>
      </c>
      <c r="S31" s="80">
        <f>IF(E5=1,0,(IF(E5=2,W78,W78)))</f>
        <v>0</v>
      </c>
      <c r="AB31" s="67"/>
      <c r="AC31" s="67"/>
    </row>
    <row r="32" spans="4:29" s="5" customFormat="1" ht="16.5" customHeight="1">
      <c r="D32" s="65" t="s">
        <v>51</v>
      </c>
      <c r="E32" s="63">
        <f t="shared" si="1"/>
        <v>-18</v>
      </c>
      <c r="F32" s="63">
        <f t="shared" si="2"/>
        <v>0</v>
      </c>
      <c r="G32" s="63">
        <f t="shared" si="3"/>
        <v>0</v>
      </c>
      <c r="H32" s="63">
        <f t="shared" si="4"/>
        <v>0</v>
      </c>
      <c r="I32" s="63">
        <f>IF(I3=3,F94,0)</f>
        <v>0</v>
      </c>
      <c r="J32" s="63">
        <f>IF(I3=3,G94,0)</f>
        <v>0</v>
      </c>
      <c r="K32" s="63">
        <f>I32+I7</f>
        <v>18</v>
      </c>
      <c r="L32" s="63">
        <f t="shared" si="5"/>
        <v>0</v>
      </c>
      <c r="N32" s="80" t="s">
        <v>52</v>
      </c>
      <c r="O32" s="80" t="s">
        <v>48</v>
      </c>
      <c r="P32" s="80">
        <f aca="true" t="shared" si="6" ref="P32:S32">T79</f>
        <v>72</v>
      </c>
      <c r="Q32" s="80">
        <f t="shared" si="6"/>
        <v>46.8270110646816</v>
      </c>
      <c r="R32" s="80">
        <f t="shared" si="6"/>
        <v>0</v>
      </c>
      <c r="S32" s="80">
        <f t="shared" si="6"/>
        <v>-30</v>
      </c>
      <c r="AB32" s="67"/>
      <c r="AC32" s="67"/>
    </row>
    <row r="33" spans="4:29" s="5" customFormat="1" ht="16.5" customHeight="1">
      <c r="D33" s="65" t="s">
        <v>53</v>
      </c>
      <c r="E33" s="63">
        <f t="shared" si="1"/>
        <v>-18</v>
      </c>
      <c r="F33" s="63">
        <f t="shared" si="2"/>
        <v>0</v>
      </c>
      <c r="G33" s="63">
        <f t="shared" si="3"/>
        <v>0</v>
      </c>
      <c r="H33" s="63">
        <f t="shared" si="4"/>
        <v>0</v>
      </c>
      <c r="I33" s="63">
        <f>IF(I3=3,F95,IF(I3=2,F84,0))</f>
        <v>0</v>
      </c>
      <c r="J33" s="63">
        <f>IF(I3=3,G95,IF(I3=2,G84,0))</f>
        <v>0</v>
      </c>
      <c r="K33" s="63">
        <f>I33+I7</f>
        <v>18</v>
      </c>
      <c r="L33" s="63">
        <f t="shared" si="5"/>
        <v>0</v>
      </c>
      <c r="N33" s="80"/>
      <c r="O33" s="80" t="s">
        <v>50</v>
      </c>
      <c r="P33" s="80">
        <f>IF(E5=1,0,IF(E5=2,T80,T80))</f>
        <v>46.8270110646816</v>
      </c>
      <c r="Q33" s="80">
        <f>IF(E5=1,0,IF(E5=2,U80,U80))</f>
        <v>21.654022129363206</v>
      </c>
      <c r="R33" s="80">
        <f>IF(E5=1,0,IF(E5=2,V80,V80))</f>
        <v>-30</v>
      </c>
      <c r="S33" s="80">
        <f>IF(E5=1,0,IF(E5=2,W80,W80))</f>
        <v>0</v>
      </c>
      <c r="W33" s="80"/>
      <c r="X33" s="80"/>
      <c r="AB33" s="67"/>
      <c r="AC33" s="67"/>
    </row>
    <row r="34" spans="4:29" s="5" customFormat="1" ht="16.5" customHeight="1">
      <c r="D34" s="65" t="s">
        <v>54</v>
      </c>
      <c r="E34" s="63">
        <f t="shared" si="1"/>
        <v>-18</v>
      </c>
      <c r="F34" s="63">
        <f t="shared" si="2"/>
        <v>0</v>
      </c>
      <c r="G34" s="63">
        <f t="shared" si="3"/>
        <v>0</v>
      </c>
      <c r="H34" s="63">
        <f t="shared" si="4"/>
        <v>0</v>
      </c>
      <c r="I34" s="63">
        <f>IF(I3=3,F96,IF(I3=2,F85,0))</f>
        <v>0</v>
      </c>
      <c r="J34" s="63">
        <f>IF(I3=3,G96,IF(I3=2,G85,0))</f>
        <v>0</v>
      </c>
      <c r="K34" s="63">
        <f>I34+I7</f>
        <v>18</v>
      </c>
      <c r="L34" s="63">
        <f t="shared" si="5"/>
        <v>0</v>
      </c>
      <c r="N34" s="80" t="s">
        <v>55</v>
      </c>
      <c r="O34" s="80" t="s">
        <v>48</v>
      </c>
      <c r="P34" s="5">
        <f>T81</f>
        <v>68.36470016363859</v>
      </c>
      <c r="Q34" s="5">
        <f aca="true" t="shared" si="7" ref="Q34:S34">U81</f>
        <v>14.24326750549588</v>
      </c>
      <c r="R34" s="5">
        <f t="shared" si="7"/>
        <v>0</v>
      </c>
      <c r="S34" s="5">
        <f t="shared" si="7"/>
        <v>-30</v>
      </c>
      <c r="AB34" s="67"/>
      <c r="AC34" s="67"/>
    </row>
    <row r="35" spans="4:29" s="5" customFormat="1" ht="16.5" customHeight="1">
      <c r="D35" s="65" t="s">
        <v>56</v>
      </c>
      <c r="E35" s="63">
        <f t="shared" si="1"/>
        <v>-29.191166559453666</v>
      </c>
      <c r="F35" s="63">
        <f t="shared" si="2"/>
        <v>0</v>
      </c>
      <c r="G35" s="63">
        <f t="shared" si="3"/>
        <v>-11.191166559453666</v>
      </c>
      <c r="H35" s="63">
        <f t="shared" si="4"/>
        <v>0</v>
      </c>
      <c r="I35" s="63">
        <f>IF(I3=3,F97,IF(I3=2,F86,F77))</f>
        <v>11.191166559453666</v>
      </c>
      <c r="J35" s="63">
        <f>IF(I3=3,G97,IF(I3=2,G86,G77))</f>
        <v>0</v>
      </c>
      <c r="K35" s="63">
        <f>I35+I7</f>
        <v>29.191166559453666</v>
      </c>
      <c r="L35" s="63">
        <f t="shared" si="5"/>
        <v>0</v>
      </c>
      <c r="N35" s="80"/>
      <c r="O35" s="80" t="s">
        <v>50</v>
      </c>
      <c r="P35" s="5">
        <f>IF(E5=1,0,IF(E5=2,T82,T82))</f>
        <v>14.24326750549588</v>
      </c>
      <c r="Q35" s="5">
        <f>IF(E5=1,0,IF(E5=2,U82,U82))</f>
        <v>-39.87816515264683</v>
      </c>
      <c r="R35" s="5">
        <f>IF(E5=1,0,IF(E5=2,V82,V82))</f>
        <v>-30</v>
      </c>
      <c r="S35" s="5">
        <f>IF(H5=1,0,IF(H5=2,W82,W82))</f>
        <v>0</v>
      </c>
      <c r="AB35" s="67"/>
      <c r="AC35" s="67"/>
    </row>
    <row r="36" spans="4:29" s="5" customFormat="1" ht="16.5" customHeight="1">
      <c r="D36" s="65" t="s">
        <v>57</v>
      </c>
      <c r="E36" s="63">
        <f t="shared" si="1"/>
        <v>-19</v>
      </c>
      <c r="F36" s="63">
        <f t="shared" si="2"/>
        <v>-28</v>
      </c>
      <c r="G36" s="63">
        <f t="shared" si="3"/>
        <v>-1</v>
      </c>
      <c r="H36" s="63">
        <f t="shared" si="4"/>
        <v>-28</v>
      </c>
      <c r="I36" s="63">
        <f>IF(I3=3,F98,IF(I3=2,F87,F78))</f>
        <v>1</v>
      </c>
      <c r="J36" s="63">
        <f>IF(I3=3,G98,IF(I3=2,G87,G78))</f>
        <v>-28</v>
      </c>
      <c r="K36" s="63">
        <f>I36+I7</f>
        <v>19</v>
      </c>
      <c r="L36" s="63">
        <f t="shared" si="5"/>
        <v>-28</v>
      </c>
      <c r="N36" s="69" t="s">
        <v>58</v>
      </c>
      <c r="O36" s="69"/>
      <c r="P36" s="80" t="s">
        <v>41</v>
      </c>
      <c r="Q36" s="80" t="s">
        <v>42</v>
      </c>
      <c r="R36" s="80" t="s">
        <v>43</v>
      </c>
      <c r="S36" s="80" t="s">
        <v>44</v>
      </c>
      <c r="AB36" s="67"/>
      <c r="AC36" s="67"/>
    </row>
    <row r="37" spans="4:29" s="5" customFormat="1" ht="16.5" customHeight="1">
      <c r="D37" s="65" t="s">
        <v>59</v>
      </c>
      <c r="E37" s="63">
        <f t="shared" si="1"/>
        <v>-19</v>
      </c>
      <c r="F37" s="63">
        <f t="shared" si="2"/>
        <v>-30</v>
      </c>
      <c r="G37" s="63">
        <f t="shared" si="3"/>
        <v>-1</v>
      </c>
      <c r="H37" s="63">
        <f t="shared" si="4"/>
        <v>-30</v>
      </c>
      <c r="I37" s="63">
        <f>IF(I3=3,F99,IF(I3=2,F88,F79))</f>
        <v>1</v>
      </c>
      <c r="J37" s="63">
        <f>IF(I3=3,G99,IF(I3=2,G88,G79))</f>
        <v>-30</v>
      </c>
      <c r="K37" s="63">
        <f>I37+I7</f>
        <v>19</v>
      </c>
      <c r="L37" s="63">
        <f t="shared" si="5"/>
        <v>-30</v>
      </c>
      <c r="N37" s="80" t="s">
        <v>47</v>
      </c>
      <c r="O37" s="80"/>
      <c r="P37" s="5">
        <f aca="true" t="shared" si="8" ref="P37:S37">T84</f>
        <v>78.5643687780633</v>
      </c>
      <c r="Q37" s="5">
        <f t="shared" si="8"/>
        <v>67</v>
      </c>
      <c r="R37" s="5">
        <f t="shared" si="8"/>
        <v>12.544605711831773</v>
      </c>
      <c r="S37" s="5">
        <f t="shared" si="8"/>
        <v>0</v>
      </c>
      <c r="AB37" s="67"/>
      <c r="AC37" s="67"/>
    </row>
    <row r="38" spans="4:29" s="5" customFormat="1" ht="16.5" customHeight="1">
      <c r="D38" s="65" t="s">
        <v>60</v>
      </c>
      <c r="E38" s="63">
        <f t="shared" si="1"/>
        <v>-19</v>
      </c>
      <c r="F38" s="63">
        <f t="shared" si="2"/>
        <v>-30</v>
      </c>
      <c r="G38" s="63">
        <f t="shared" si="3"/>
        <v>-1</v>
      </c>
      <c r="H38" s="63">
        <f t="shared" si="4"/>
        <v>-30</v>
      </c>
      <c r="I38" s="63">
        <f>IF(I3=3,F100,IF(I3=2,F89,F80))</f>
        <v>1</v>
      </c>
      <c r="J38" s="63">
        <f>IF(I3=3,G100,IF(I3=2,G89,G80))</f>
        <v>-30</v>
      </c>
      <c r="K38" s="63">
        <f>I38+I7</f>
        <v>19</v>
      </c>
      <c r="L38" s="63">
        <f t="shared" si="5"/>
        <v>-30</v>
      </c>
      <c r="N38" s="80" t="s">
        <v>52</v>
      </c>
      <c r="O38" s="80"/>
      <c r="P38" s="5">
        <f aca="true" t="shared" si="9" ref="P38:P39">T85</f>
        <v>78.5643687780633</v>
      </c>
      <c r="Q38" s="5">
        <f aca="true" t="shared" si="10" ref="Q38:Q39">U85</f>
        <v>72</v>
      </c>
      <c r="R38" s="5">
        <f aca="true" t="shared" si="11" ref="R38:R39">V85</f>
        <v>12.544605711831773</v>
      </c>
      <c r="S38" s="5">
        <f aca="true" t="shared" si="12" ref="S38:S39">W85</f>
        <v>0</v>
      </c>
      <c r="AB38" s="67"/>
      <c r="AC38" s="67"/>
    </row>
    <row r="39" spans="11:29" s="5" customFormat="1" ht="16.5" customHeight="1">
      <c r="K39" s="80"/>
      <c r="L39" s="81"/>
      <c r="N39" s="80" t="s">
        <v>55</v>
      </c>
      <c r="O39" s="80"/>
      <c r="P39" s="5">
        <f t="shared" si="9"/>
        <v>78.5643687780633</v>
      </c>
      <c r="Q39" s="5">
        <f t="shared" si="10"/>
        <v>68.36470016363859</v>
      </c>
      <c r="R39" s="5">
        <f t="shared" si="11"/>
        <v>12.544605711831773</v>
      </c>
      <c r="S39" s="5">
        <f t="shared" si="12"/>
        <v>0</v>
      </c>
      <c r="Y39" s="67"/>
      <c r="Z39" s="67"/>
      <c r="AA39" s="67"/>
      <c r="AB39" s="67"/>
      <c r="AC39" s="67"/>
    </row>
    <row r="40" spans="4:29" s="5" customFormat="1" ht="16.5" customHeight="1">
      <c r="D40" s="66" t="s">
        <v>61</v>
      </c>
      <c r="E40" s="66" t="s">
        <v>45</v>
      </c>
      <c r="F40" s="66" t="s">
        <v>46</v>
      </c>
      <c r="G40" s="66" t="s">
        <v>62</v>
      </c>
      <c r="H40" s="67">
        <f>-I5/2</f>
        <v>-12.5</v>
      </c>
      <c r="I40" s="67">
        <v>0</v>
      </c>
      <c r="J40" s="66" t="s">
        <v>63</v>
      </c>
      <c r="K40" s="67">
        <f>-I6/2</f>
        <v>-1</v>
      </c>
      <c r="L40" s="67">
        <f>-I4</f>
        <v>-30</v>
      </c>
      <c r="N40" s="80" t="s">
        <v>64</v>
      </c>
      <c r="O40" s="80" t="s">
        <v>41</v>
      </c>
      <c r="P40" s="80" t="s">
        <v>42</v>
      </c>
      <c r="Q40" s="80" t="s">
        <v>65</v>
      </c>
      <c r="R40" s="80" t="s">
        <v>66</v>
      </c>
      <c r="S40" s="80" t="s">
        <v>67</v>
      </c>
      <c r="Y40" s="67"/>
      <c r="Z40" s="67"/>
      <c r="AA40" s="67"/>
      <c r="AB40" s="67"/>
      <c r="AC40" s="67"/>
    </row>
    <row r="41" spans="4:29" s="5" customFormat="1" ht="16.5" customHeight="1">
      <c r="D41" s="66" t="s">
        <v>68</v>
      </c>
      <c r="E41" s="68">
        <f>IF(W88&gt;1.5*E3,W88+1/4*E3,2*E3)</f>
        <v>97.6287375561266</v>
      </c>
      <c r="F41" s="66">
        <v>0</v>
      </c>
      <c r="G41" s="66"/>
      <c r="H41" s="67">
        <f>-I5/3</f>
        <v>-8.333333333333334</v>
      </c>
      <c r="I41" s="67">
        <v>1</v>
      </c>
      <c r="J41" s="66"/>
      <c r="K41" s="67">
        <f>-I6/3</f>
        <v>-0.6666666666666666</v>
      </c>
      <c r="L41" s="67">
        <f>-I4-1</f>
        <v>-31</v>
      </c>
      <c r="N41" s="80"/>
      <c r="O41" s="80">
        <f aca="true" t="shared" si="13" ref="O41:S41">S88</f>
        <v>54</v>
      </c>
      <c r="P41" s="80">
        <f t="shared" si="13"/>
        <v>54</v>
      </c>
      <c r="Q41" s="80">
        <f t="shared" si="13"/>
        <v>67</v>
      </c>
      <c r="R41" s="80">
        <f t="shared" si="13"/>
        <v>90.1287375561266</v>
      </c>
      <c r="S41" s="80">
        <f t="shared" si="13"/>
        <v>90.1287375561266</v>
      </c>
      <c r="T41" s="80"/>
      <c r="U41" s="81"/>
      <c r="V41" s="80"/>
      <c r="W41" s="80"/>
      <c r="Y41" s="67"/>
      <c r="Z41" s="67"/>
      <c r="AA41" s="67"/>
      <c r="AB41" s="67"/>
      <c r="AC41" s="67"/>
    </row>
    <row r="42" spans="4:29" s="5" customFormat="1" ht="16.5" customHeight="1">
      <c r="D42" s="66"/>
      <c r="E42" s="68">
        <f>-E41</f>
        <v>-97.6287375561266</v>
      </c>
      <c r="F42" s="66">
        <v>0</v>
      </c>
      <c r="G42" s="66"/>
      <c r="H42" s="67">
        <f>-I5/8</f>
        <v>-3.125</v>
      </c>
      <c r="I42" s="67">
        <v>2</v>
      </c>
      <c r="J42" s="66"/>
      <c r="K42" s="67">
        <f>-I6/8</f>
        <v>-0.25</v>
      </c>
      <c r="L42" s="67">
        <f>-I4-2</f>
        <v>-32</v>
      </c>
      <c r="N42" s="80"/>
      <c r="O42" s="80" t="s">
        <v>43</v>
      </c>
      <c r="P42" s="80" t="s">
        <v>44</v>
      </c>
      <c r="Q42" s="81" t="s">
        <v>69</v>
      </c>
      <c r="R42" s="80" t="s">
        <v>70</v>
      </c>
      <c r="S42" s="80" t="s">
        <v>71</v>
      </c>
      <c r="T42" s="80"/>
      <c r="U42" s="81"/>
      <c r="V42" s="80"/>
      <c r="W42" s="80"/>
      <c r="Y42" s="67"/>
      <c r="Z42" s="67"/>
      <c r="AA42" s="67"/>
      <c r="AB42" s="67"/>
      <c r="AC42" s="67"/>
    </row>
    <row r="43" spans="4:29" s="5" customFormat="1" ht="16.5" customHeight="1">
      <c r="D43" s="66" t="s">
        <v>72</v>
      </c>
      <c r="E43" s="68">
        <f>E41</f>
        <v>97.6287375561266</v>
      </c>
      <c r="F43" s="66">
        <f>T99</f>
        <v>-30</v>
      </c>
      <c r="G43" s="66"/>
      <c r="H43" s="67">
        <f>I5/8</f>
        <v>3.125</v>
      </c>
      <c r="I43" s="67">
        <v>2</v>
      </c>
      <c r="J43" s="66"/>
      <c r="K43" s="67">
        <f>I6/8</f>
        <v>0.25</v>
      </c>
      <c r="L43" s="67">
        <f>-I4-2</f>
        <v>-32</v>
      </c>
      <c r="N43" s="80"/>
      <c r="O43" s="80">
        <f aca="true" t="shared" si="14" ref="O43:S43">S90</f>
        <v>0</v>
      </c>
      <c r="P43" s="80">
        <f t="shared" si="14"/>
        <v>18.81690856774766</v>
      </c>
      <c r="Q43" s="81">
        <f t="shared" si="14"/>
        <v>18.81690856774766</v>
      </c>
      <c r="R43" s="80">
        <f t="shared" si="14"/>
        <v>6.272302855915886</v>
      </c>
      <c r="S43" s="80">
        <f t="shared" si="14"/>
        <v>0</v>
      </c>
      <c r="T43" s="80"/>
      <c r="U43" s="81"/>
      <c r="V43" s="80"/>
      <c r="W43" s="80"/>
      <c r="Y43" s="67"/>
      <c r="Z43" s="67"/>
      <c r="AA43" s="67"/>
      <c r="AB43" s="67"/>
      <c r="AC43" s="67"/>
    </row>
    <row r="44" spans="4:29" s="5" customFormat="1" ht="16.5" customHeight="1">
      <c r="D44" s="66"/>
      <c r="E44" s="68">
        <f>-E41</f>
        <v>-97.6287375561266</v>
      </c>
      <c r="F44" s="66">
        <f>F43</f>
        <v>-30</v>
      </c>
      <c r="G44" s="66"/>
      <c r="H44" s="67">
        <f>I5/3</f>
        <v>8.333333333333334</v>
      </c>
      <c r="I44" s="67">
        <v>1</v>
      </c>
      <c r="J44" s="66"/>
      <c r="K44" s="81">
        <f>I6/3</f>
        <v>0.6666666666666666</v>
      </c>
      <c r="L44" s="81">
        <f>-I4-1</f>
        <v>-31</v>
      </c>
      <c r="O44" s="82"/>
      <c r="S44" s="80"/>
      <c r="T44" s="80"/>
      <c r="U44" s="81"/>
      <c r="V44" s="80"/>
      <c r="W44" s="80"/>
      <c r="Y44" s="67"/>
      <c r="Z44" s="67"/>
      <c r="AA44" s="67"/>
      <c r="AB44" s="67"/>
      <c r="AC44" s="67"/>
    </row>
    <row r="45" spans="7:29" s="5" customFormat="1" ht="16.5" customHeight="1">
      <c r="G45" s="66"/>
      <c r="H45" s="67">
        <f>I5/2</f>
        <v>12.5</v>
      </c>
      <c r="I45" s="67">
        <v>0</v>
      </c>
      <c r="J45" s="66"/>
      <c r="K45" s="81">
        <f>I6/2</f>
        <v>1</v>
      </c>
      <c r="L45" s="81">
        <f>-I4</f>
        <v>-30</v>
      </c>
      <c r="O45" s="82"/>
      <c r="S45" s="80"/>
      <c r="T45" s="80"/>
      <c r="U45" s="81"/>
      <c r="V45" s="80"/>
      <c r="W45" s="80"/>
      <c r="Y45" s="67"/>
      <c r="Z45" s="67"/>
      <c r="AA45" s="67"/>
      <c r="AB45" s="67"/>
      <c r="AC45" s="67"/>
    </row>
    <row r="46" spans="4:29" s="5" customFormat="1" ht="16.5" customHeight="1">
      <c r="D46" s="67" t="s">
        <v>73</v>
      </c>
      <c r="E46" s="69" t="s">
        <v>41</v>
      </c>
      <c r="F46" s="69" t="s">
        <v>42</v>
      </c>
      <c r="G46" s="5" t="s">
        <v>43</v>
      </c>
      <c r="H46" s="5" t="s">
        <v>44</v>
      </c>
      <c r="K46" s="80"/>
      <c r="L46" s="81"/>
      <c r="O46" s="82"/>
      <c r="S46" s="80"/>
      <c r="T46" s="80"/>
      <c r="U46" s="81"/>
      <c r="V46" s="80"/>
      <c r="W46" s="80"/>
      <c r="Y46" s="67"/>
      <c r="Z46" s="67"/>
      <c r="AA46" s="67"/>
      <c r="AB46" s="67"/>
      <c r="AC46" s="67"/>
    </row>
    <row r="47" spans="4:29" s="5" customFormat="1" ht="16.5" customHeight="1">
      <c r="D47" s="67" t="s">
        <v>74</v>
      </c>
      <c r="E47" s="69">
        <f>IF(D11=TRUE,S92,0)</f>
        <v>0</v>
      </c>
      <c r="F47" s="69">
        <f>IF(D11=TRUE,T92,0)</f>
        <v>0</v>
      </c>
      <c r="G47" s="69">
        <f>IF(D11=TRUE,U92,0)</f>
        <v>0</v>
      </c>
      <c r="H47" s="69">
        <f>IF(D11=TRUE,V92,0)</f>
        <v>0</v>
      </c>
      <c r="K47" s="80"/>
      <c r="L47" s="81"/>
      <c r="O47" s="82"/>
      <c r="S47" s="80"/>
      <c r="T47" s="80"/>
      <c r="U47" s="81"/>
      <c r="V47" s="80"/>
      <c r="W47" s="80"/>
      <c r="Y47" s="67"/>
      <c r="Z47" s="67"/>
      <c r="AA47" s="67"/>
      <c r="AB47" s="67"/>
      <c r="AC47" s="67"/>
    </row>
    <row r="48" spans="11:29" s="5" customFormat="1" ht="16.5" customHeight="1" hidden="1">
      <c r="K48" s="80"/>
      <c r="L48" s="81"/>
      <c r="O48" s="82"/>
      <c r="S48" s="80"/>
      <c r="T48" s="80"/>
      <c r="U48" s="81"/>
      <c r="V48" s="80"/>
      <c r="W48" s="80"/>
      <c r="Y48" s="67"/>
      <c r="Z48" s="67"/>
      <c r="AA48" s="67"/>
      <c r="AB48" s="67"/>
      <c r="AC48" s="67"/>
    </row>
    <row r="49" spans="11:29" s="5" customFormat="1" ht="16.5" customHeight="1" hidden="1">
      <c r="K49" s="80"/>
      <c r="L49" s="81"/>
      <c r="O49" s="82"/>
      <c r="S49" s="80"/>
      <c r="T49" s="80"/>
      <c r="U49" s="81"/>
      <c r="V49" s="80"/>
      <c r="W49" s="80"/>
      <c r="Y49" s="67"/>
      <c r="Z49" s="67"/>
      <c r="AA49" s="67"/>
      <c r="AB49" s="67"/>
      <c r="AC49" s="67"/>
    </row>
    <row r="50" spans="11:29" s="5" customFormat="1" ht="16.5" customHeight="1" hidden="1">
      <c r="K50" s="80"/>
      <c r="L50" s="81"/>
      <c r="O50" s="82"/>
      <c r="S50" s="80"/>
      <c r="T50" s="80"/>
      <c r="U50" s="81"/>
      <c r="V50" s="80"/>
      <c r="W50" s="80"/>
      <c r="Y50" s="67"/>
      <c r="Z50" s="67"/>
      <c r="AA50" s="67"/>
      <c r="AB50" s="67"/>
      <c r="AC50" s="67"/>
    </row>
    <row r="51" spans="11:29" s="5" customFormat="1" ht="16.5" customHeight="1" hidden="1">
      <c r="K51" s="80"/>
      <c r="L51" s="81"/>
      <c r="O51" s="82"/>
      <c r="S51" s="80"/>
      <c r="T51" s="80"/>
      <c r="U51" s="81"/>
      <c r="V51" s="80"/>
      <c r="W51" s="80"/>
      <c r="Y51" s="67"/>
      <c r="Z51" s="67"/>
      <c r="AA51" s="67"/>
      <c r="AB51" s="67"/>
      <c r="AC51" s="67"/>
    </row>
    <row r="52" spans="11:29" s="5" customFormat="1" ht="16.5" customHeight="1" hidden="1">
      <c r="K52" s="80"/>
      <c r="L52" s="81"/>
      <c r="O52" s="82"/>
      <c r="S52" s="80"/>
      <c r="T52" s="80"/>
      <c r="U52" s="81"/>
      <c r="V52" s="80"/>
      <c r="W52" s="80"/>
      <c r="Y52" s="67"/>
      <c r="Z52" s="67"/>
      <c r="AA52" s="67"/>
      <c r="AB52" s="67"/>
      <c r="AC52" s="67"/>
    </row>
    <row r="53" spans="11:29" s="5" customFormat="1" ht="16.5" customHeight="1" hidden="1">
      <c r="K53" s="80"/>
      <c r="L53" s="81"/>
      <c r="O53" s="82"/>
      <c r="S53" s="80"/>
      <c r="T53" s="80"/>
      <c r="U53" s="81"/>
      <c r="V53" s="80"/>
      <c r="W53" s="80"/>
      <c r="Y53" s="67"/>
      <c r="Z53" s="67"/>
      <c r="AA53" s="67"/>
      <c r="AB53" s="67"/>
      <c r="AC53" s="67"/>
    </row>
    <row r="54" spans="11:29" s="5" customFormat="1" ht="16.5" customHeight="1" hidden="1">
      <c r="K54" s="80"/>
      <c r="L54" s="81"/>
      <c r="O54" s="82"/>
      <c r="S54" s="80"/>
      <c r="T54" s="80"/>
      <c r="U54" s="81"/>
      <c r="V54" s="80"/>
      <c r="W54" s="80"/>
      <c r="Y54" s="67"/>
      <c r="Z54" s="67"/>
      <c r="AA54" s="67"/>
      <c r="AB54" s="67"/>
      <c r="AC54" s="67"/>
    </row>
    <row r="55" spans="11:29" s="5" customFormat="1" ht="16.5" customHeight="1" hidden="1">
      <c r="K55" s="80"/>
      <c r="L55" s="81"/>
      <c r="O55" s="82"/>
      <c r="S55" s="80"/>
      <c r="T55" s="80"/>
      <c r="U55" s="81"/>
      <c r="V55" s="80"/>
      <c r="W55" s="80"/>
      <c r="Y55" s="67"/>
      <c r="Z55" s="67"/>
      <c r="AA55" s="67"/>
      <c r="AB55" s="67"/>
      <c r="AC55" s="67"/>
    </row>
    <row r="56" spans="11:29" s="5" customFormat="1" ht="16.5" customHeight="1" hidden="1">
      <c r="K56" s="80"/>
      <c r="L56" s="81"/>
      <c r="O56" s="82"/>
      <c r="S56" s="80"/>
      <c r="T56" s="80"/>
      <c r="U56" s="81"/>
      <c r="V56" s="80"/>
      <c r="W56" s="80"/>
      <c r="Y56" s="67"/>
      <c r="Z56" s="67"/>
      <c r="AA56" s="67"/>
      <c r="AB56" s="67"/>
      <c r="AC56" s="67"/>
    </row>
    <row r="57" spans="11:29" s="5" customFormat="1" ht="16.5" customHeight="1" hidden="1">
      <c r="K57" s="80"/>
      <c r="L57" s="81"/>
      <c r="O57" s="82"/>
      <c r="S57" s="80"/>
      <c r="T57" s="80"/>
      <c r="U57" s="81"/>
      <c r="V57" s="80"/>
      <c r="W57" s="80"/>
      <c r="Y57" s="67"/>
      <c r="Z57" s="67"/>
      <c r="AA57" s="67"/>
      <c r="AB57" s="67"/>
      <c r="AC57" s="67"/>
    </row>
    <row r="58" spans="11:29" s="5" customFormat="1" ht="16.5" customHeight="1" hidden="1">
      <c r="K58" s="80"/>
      <c r="L58" s="81"/>
      <c r="O58" s="82"/>
      <c r="S58" s="80"/>
      <c r="T58" s="80"/>
      <c r="U58" s="81"/>
      <c r="V58" s="80"/>
      <c r="W58" s="80"/>
      <c r="Y58" s="67"/>
      <c r="Z58" s="67"/>
      <c r="AA58" s="67"/>
      <c r="AB58" s="67"/>
      <c r="AC58" s="67"/>
    </row>
    <row r="59" spans="11:29" s="5" customFormat="1" ht="16.5" customHeight="1" hidden="1">
      <c r="K59" s="80"/>
      <c r="L59" s="81"/>
      <c r="O59" s="82"/>
      <c r="S59" s="80"/>
      <c r="T59" s="80"/>
      <c r="U59" s="81"/>
      <c r="V59" s="80"/>
      <c r="W59" s="80"/>
      <c r="Y59" s="67"/>
      <c r="Z59" s="67"/>
      <c r="AA59" s="67"/>
      <c r="AB59" s="67"/>
      <c r="AC59" s="67"/>
    </row>
    <row r="60" spans="11:29" s="5" customFormat="1" ht="16.5" customHeight="1" hidden="1">
      <c r="K60" s="80"/>
      <c r="L60" s="81"/>
      <c r="O60" s="82"/>
      <c r="S60" s="80"/>
      <c r="T60" s="80"/>
      <c r="U60" s="81"/>
      <c r="V60" s="80"/>
      <c r="W60" s="80"/>
      <c r="Y60" s="67"/>
      <c r="Z60" s="67"/>
      <c r="AA60" s="67"/>
      <c r="AB60" s="67"/>
      <c r="AC60" s="67"/>
    </row>
    <row r="61" spans="11:29" s="5" customFormat="1" ht="16.5" customHeight="1" hidden="1">
      <c r="K61" s="80"/>
      <c r="L61" s="81"/>
      <c r="O61" s="82"/>
      <c r="S61" s="80"/>
      <c r="T61" s="80"/>
      <c r="U61" s="81"/>
      <c r="V61" s="80"/>
      <c r="W61" s="80"/>
      <c r="Y61" s="67"/>
      <c r="Z61" s="67"/>
      <c r="AA61" s="67"/>
      <c r="AB61" s="67"/>
      <c r="AC61" s="67"/>
    </row>
    <row r="62" spans="11:29" s="5" customFormat="1" ht="16.5" customHeight="1" hidden="1">
      <c r="K62" s="80"/>
      <c r="L62" s="81"/>
      <c r="O62" s="82"/>
      <c r="S62" s="80"/>
      <c r="T62" s="80"/>
      <c r="U62" s="81"/>
      <c r="V62" s="80"/>
      <c r="W62" s="80"/>
      <c r="Y62" s="67"/>
      <c r="Z62" s="67"/>
      <c r="AA62" s="67"/>
      <c r="AB62" s="67"/>
      <c r="AC62" s="67"/>
    </row>
    <row r="63" spans="11:29" s="5" customFormat="1" ht="16.5" customHeight="1" hidden="1">
      <c r="K63" s="80"/>
      <c r="L63" s="81"/>
      <c r="O63" s="82"/>
      <c r="S63" s="80"/>
      <c r="T63" s="80"/>
      <c r="U63" s="81"/>
      <c r="V63" s="80"/>
      <c r="W63" s="80"/>
      <c r="Y63" s="67"/>
      <c r="Z63" s="67"/>
      <c r="AA63" s="67"/>
      <c r="AB63" s="67"/>
      <c r="AC63" s="67"/>
    </row>
    <row r="64" spans="11:29" s="5" customFormat="1" ht="16.5" customHeight="1" hidden="1">
      <c r="K64" s="80"/>
      <c r="L64" s="81"/>
      <c r="O64" s="82"/>
      <c r="S64" s="80"/>
      <c r="T64" s="80"/>
      <c r="U64" s="81"/>
      <c r="V64" s="80"/>
      <c r="W64" s="80"/>
      <c r="Y64" s="67"/>
      <c r="Z64" s="67"/>
      <c r="AA64" s="67"/>
      <c r="AB64" s="67"/>
      <c r="AC64" s="67"/>
    </row>
    <row r="65" spans="11:29" s="5" customFormat="1" ht="16.5" customHeight="1" hidden="1">
      <c r="K65" s="80"/>
      <c r="L65" s="81"/>
      <c r="O65" s="82"/>
      <c r="S65" s="80"/>
      <c r="T65" s="80"/>
      <c r="U65" s="81"/>
      <c r="V65" s="80"/>
      <c r="W65" s="80"/>
      <c r="Y65" s="67"/>
      <c r="Z65" s="67"/>
      <c r="AA65" s="67"/>
      <c r="AB65" s="67"/>
      <c r="AC65" s="67"/>
    </row>
    <row r="66" spans="11:29" s="5" customFormat="1" ht="16.5" customHeight="1" hidden="1">
      <c r="K66" s="80"/>
      <c r="L66" s="81"/>
      <c r="O66" s="82"/>
      <c r="S66" s="80"/>
      <c r="T66" s="80"/>
      <c r="U66" s="81"/>
      <c r="V66" s="80"/>
      <c r="W66" s="80"/>
      <c r="Y66" s="67"/>
      <c r="Z66" s="67"/>
      <c r="AA66" s="67"/>
      <c r="AB66" s="67"/>
      <c r="AC66" s="67"/>
    </row>
    <row r="67" spans="11:29" s="5" customFormat="1" ht="16.5" customHeight="1">
      <c r="K67" s="80"/>
      <c r="L67" s="81"/>
      <c r="O67" s="82"/>
      <c r="S67" s="80"/>
      <c r="T67" s="80"/>
      <c r="U67" s="81"/>
      <c r="V67" s="80"/>
      <c r="W67" s="80"/>
      <c r="Y67" s="67"/>
      <c r="Z67" s="67"/>
      <c r="AA67" s="67"/>
      <c r="AB67" s="67"/>
      <c r="AC67" s="67"/>
    </row>
    <row r="68" spans="11:29" s="5" customFormat="1" ht="16.5" customHeight="1">
      <c r="K68" s="80"/>
      <c r="L68" s="81"/>
      <c r="O68" s="82"/>
      <c r="S68" s="80"/>
      <c r="T68" s="80"/>
      <c r="U68" s="81"/>
      <c r="V68" s="80"/>
      <c r="W68" s="80"/>
      <c r="Y68" s="67"/>
      <c r="Z68" s="67"/>
      <c r="AA68" s="67"/>
      <c r="AB68" s="67"/>
      <c r="AC68" s="67"/>
    </row>
    <row r="69" spans="11:29" s="5" customFormat="1" ht="16.5" customHeight="1">
      <c r="K69" s="80"/>
      <c r="L69" s="81"/>
      <c r="O69" s="82"/>
      <c r="S69" s="80"/>
      <c r="T69" s="80"/>
      <c r="U69" s="81"/>
      <c r="V69" s="80"/>
      <c r="W69" s="80"/>
      <c r="Y69" s="67"/>
      <c r="Z69" s="67"/>
      <c r="AA69" s="67"/>
      <c r="AB69" s="67"/>
      <c r="AC69" s="67"/>
    </row>
    <row r="70" spans="11:29" s="5" customFormat="1" ht="16.5" customHeight="1">
      <c r="K70" s="80"/>
      <c r="L70" s="81"/>
      <c r="O70" s="82"/>
      <c r="S70" s="80"/>
      <c r="T70" s="80"/>
      <c r="U70" s="81"/>
      <c r="V70" s="80"/>
      <c r="W70" s="80"/>
      <c r="Y70" s="67"/>
      <c r="Z70" s="67"/>
      <c r="AA70" s="67"/>
      <c r="AB70" s="67"/>
      <c r="AC70" s="67"/>
    </row>
    <row r="71" spans="11:29" s="5" customFormat="1" ht="16.5" customHeight="1">
      <c r="K71" s="80"/>
      <c r="L71" s="81"/>
      <c r="O71" s="82"/>
      <c r="S71" s="80"/>
      <c r="T71" s="80"/>
      <c r="U71" s="81"/>
      <c r="V71" s="80"/>
      <c r="W71" s="80"/>
      <c r="Y71" s="67"/>
      <c r="Z71" s="67"/>
      <c r="AA71" s="67"/>
      <c r="AB71" s="67"/>
      <c r="AC71" s="67"/>
    </row>
    <row r="72" spans="11:29" s="5" customFormat="1" ht="16.5" customHeight="1">
      <c r="K72" s="80"/>
      <c r="L72" s="81"/>
      <c r="O72" s="82"/>
      <c r="S72" s="80"/>
      <c r="T72" s="80"/>
      <c r="U72" s="81"/>
      <c r="V72" s="80"/>
      <c r="W72" s="80"/>
      <c r="Y72" s="67"/>
      <c r="Z72" s="67"/>
      <c r="AA72" s="67"/>
      <c r="AB72" s="67"/>
      <c r="AC72" s="67"/>
    </row>
    <row r="73" spans="11:29" s="5" customFormat="1" ht="16.5" customHeight="1" hidden="1">
      <c r="K73" s="80"/>
      <c r="L73" s="81"/>
      <c r="O73" s="82"/>
      <c r="S73" s="80"/>
      <c r="T73" s="80"/>
      <c r="U73" s="81"/>
      <c r="V73" s="80"/>
      <c r="W73" s="80"/>
      <c r="Y73" s="67"/>
      <c r="Z73" s="67"/>
      <c r="AA73" s="67"/>
      <c r="AB73" s="67"/>
      <c r="AC73" s="67"/>
    </row>
    <row r="74" spans="11:29" s="5" customFormat="1" ht="16.5" customHeight="1" hidden="1">
      <c r="K74" s="80"/>
      <c r="L74" s="81"/>
      <c r="O74" s="82"/>
      <c r="S74" s="80"/>
      <c r="T74" s="80"/>
      <c r="U74" s="81"/>
      <c r="V74" s="80"/>
      <c r="W74" s="80"/>
      <c r="Y74" s="67"/>
      <c r="Z74" s="67"/>
      <c r="AA74" s="67"/>
      <c r="AB74" s="67"/>
      <c r="AC74" s="67"/>
    </row>
    <row r="75" spans="8:35" s="6" customFormat="1" ht="16.5" customHeight="1" hidden="1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7"/>
      <c r="V75" s="67"/>
      <c r="W75" s="67"/>
      <c r="X75" s="67"/>
      <c r="Y75" s="67"/>
      <c r="Z75" s="67"/>
      <c r="AA75" s="67"/>
      <c r="AB75" s="67"/>
      <c r="AC75" s="67"/>
      <c r="AD75" s="5"/>
      <c r="AE75" s="5"/>
      <c r="AF75" s="5"/>
      <c r="AG75" s="5"/>
      <c r="AH75" s="5"/>
      <c r="AI75" s="5"/>
    </row>
    <row r="76" spans="3:35" s="6" customFormat="1" ht="16.5" customHeight="1" hidden="1">
      <c r="C76" s="102" t="s">
        <v>75</v>
      </c>
      <c r="D76" s="103" t="s">
        <v>76</v>
      </c>
      <c r="E76" s="103" t="s">
        <v>46</v>
      </c>
      <c r="F76" s="103" t="s">
        <v>77</v>
      </c>
      <c r="G76" s="103" t="s">
        <v>46</v>
      </c>
      <c r="H76" s="103" t="s">
        <v>78</v>
      </c>
      <c r="I76" s="114"/>
      <c r="J76" s="103" t="s">
        <v>79</v>
      </c>
      <c r="K76" s="103" t="s">
        <v>76</v>
      </c>
      <c r="L76" s="103" t="s">
        <v>46</v>
      </c>
      <c r="M76" s="103" t="s">
        <v>77</v>
      </c>
      <c r="N76" s="103" t="s">
        <v>46</v>
      </c>
      <c r="O76" s="114"/>
      <c r="P76" s="115"/>
      <c r="R76" s="80" t="s">
        <v>40</v>
      </c>
      <c r="S76" s="80"/>
      <c r="T76" s="80" t="s">
        <v>41</v>
      </c>
      <c r="U76" s="80" t="s">
        <v>42</v>
      </c>
      <c r="V76" s="80" t="s">
        <v>43</v>
      </c>
      <c r="W76" s="80" t="s">
        <v>44</v>
      </c>
      <c r="AD76" s="80"/>
      <c r="AE76" s="80"/>
      <c r="AF76" s="81"/>
      <c r="AG76" s="80"/>
      <c r="AH76" s="80"/>
      <c r="AI76" s="5"/>
    </row>
    <row r="77" spans="3:36" s="6" customFormat="1" ht="16.5" customHeight="1" hidden="1">
      <c r="C77" s="104" t="s">
        <v>56</v>
      </c>
      <c r="D77" s="67">
        <f aca="true" t="shared" si="15" ref="D77:D80">-F77</f>
        <v>-11.191166559453666</v>
      </c>
      <c r="E77" s="67">
        <v>0</v>
      </c>
      <c r="F77" s="67">
        <f>(M5/2)+(I4-M6-M7)*H77</f>
        <v>11.191166559453666</v>
      </c>
      <c r="G77" s="67">
        <v>0</v>
      </c>
      <c r="H77" s="67">
        <f>TAN(M4/2/180*PI())</f>
        <v>0.36397023426620234</v>
      </c>
      <c r="I77" s="5"/>
      <c r="J77" s="67" t="s">
        <v>56</v>
      </c>
      <c r="K77" s="69">
        <f>D77-I7</f>
        <v>-29.191166559453666</v>
      </c>
      <c r="L77" s="69">
        <f aca="true" t="shared" si="16" ref="L77:L80">E77</f>
        <v>0</v>
      </c>
      <c r="M77" s="69">
        <f aca="true" t="shared" si="17" ref="M77:M80">-K77</f>
        <v>29.191166559453666</v>
      </c>
      <c r="N77" s="69">
        <f aca="true" t="shared" si="18" ref="N77:N80">E77</f>
        <v>0</v>
      </c>
      <c r="O77" s="5"/>
      <c r="P77" s="116"/>
      <c r="R77" s="80" t="s">
        <v>47</v>
      </c>
      <c r="S77" s="80" t="s">
        <v>80</v>
      </c>
      <c r="T77" s="80">
        <f>E4+E9</f>
        <v>67</v>
      </c>
      <c r="U77" s="80">
        <f>T77-E3*X78</f>
        <v>-15.424322583638656</v>
      </c>
      <c r="V77" s="80" t="s">
        <v>81</v>
      </c>
      <c r="W77" s="80">
        <f>-E3</f>
        <v>-30</v>
      </c>
      <c r="X77" s="80" t="s">
        <v>78</v>
      </c>
      <c r="AD77" s="80"/>
      <c r="AE77" s="80"/>
      <c r="AF77" s="81"/>
      <c r="AG77" s="80"/>
      <c r="AH77" s="80"/>
      <c r="AI77" s="5"/>
      <c r="AJ77" s="5"/>
    </row>
    <row r="78" spans="3:36" s="6" customFormat="1" ht="16.5" customHeight="1" hidden="1">
      <c r="C78" s="104" t="s">
        <v>57</v>
      </c>
      <c r="D78" s="67">
        <f t="shared" si="15"/>
        <v>-1</v>
      </c>
      <c r="E78" s="67">
        <f>-(I4-M6-M7)</f>
        <v>-28</v>
      </c>
      <c r="F78" s="67">
        <f>M5/2</f>
        <v>1</v>
      </c>
      <c r="G78" s="67">
        <f>-(I4-M6-M7)</f>
        <v>-28</v>
      </c>
      <c r="H78" s="105"/>
      <c r="I78" s="5"/>
      <c r="J78" s="67" t="s">
        <v>57</v>
      </c>
      <c r="K78" s="69">
        <f>D78-I7</f>
        <v>-19</v>
      </c>
      <c r="L78" s="69">
        <f t="shared" si="16"/>
        <v>-28</v>
      </c>
      <c r="M78" s="69">
        <f t="shared" si="17"/>
        <v>19</v>
      </c>
      <c r="N78" s="69">
        <f t="shared" si="18"/>
        <v>-28</v>
      </c>
      <c r="O78" s="5"/>
      <c r="P78" s="116"/>
      <c r="R78" s="80"/>
      <c r="S78" s="80" t="s">
        <v>82</v>
      </c>
      <c r="T78" s="80">
        <f aca="true" t="shared" si="19" ref="T78:T82">U77</f>
        <v>-15.424322583638656</v>
      </c>
      <c r="U78" s="80">
        <f>T77-2*E3*X78</f>
        <v>-97.84864516727731</v>
      </c>
      <c r="V78" s="80">
        <f aca="true" t="shared" si="20" ref="V78:V82">W77</f>
        <v>-30</v>
      </c>
      <c r="W78" s="80">
        <v>0</v>
      </c>
      <c r="X78" s="80">
        <f>TAN(E7/180*PI())</f>
        <v>2.7474774194546216</v>
      </c>
      <c r="AD78" s="80"/>
      <c r="AE78" s="80"/>
      <c r="AF78" s="81"/>
      <c r="AG78" s="80"/>
      <c r="AH78" s="80"/>
      <c r="AI78" s="5"/>
      <c r="AJ78" s="5"/>
    </row>
    <row r="79" spans="3:36" s="6" customFormat="1" ht="16.5" customHeight="1" hidden="1">
      <c r="C79" s="104" t="s">
        <v>59</v>
      </c>
      <c r="D79" s="67">
        <f t="shared" si="15"/>
        <v>-1</v>
      </c>
      <c r="E79" s="67">
        <f>G79</f>
        <v>-30</v>
      </c>
      <c r="F79" s="67">
        <f>M5/2</f>
        <v>1</v>
      </c>
      <c r="G79" s="67">
        <f>-(I4-M7)</f>
        <v>-30</v>
      </c>
      <c r="H79" s="67" t="s">
        <v>83</v>
      </c>
      <c r="I79" s="5"/>
      <c r="J79" s="67" t="s">
        <v>59</v>
      </c>
      <c r="K79" s="69">
        <f>D79-I7</f>
        <v>-19</v>
      </c>
      <c r="L79" s="69">
        <f t="shared" si="16"/>
        <v>-30</v>
      </c>
      <c r="M79" s="69">
        <f t="shared" si="17"/>
        <v>19</v>
      </c>
      <c r="N79" s="69">
        <f t="shared" si="18"/>
        <v>-30</v>
      </c>
      <c r="O79" s="5"/>
      <c r="P79" s="116"/>
      <c r="R79" s="80" t="s">
        <v>52</v>
      </c>
      <c r="S79" s="80" t="s">
        <v>84</v>
      </c>
      <c r="T79" s="80">
        <f>E4+E9+E10</f>
        <v>72</v>
      </c>
      <c r="U79" s="80">
        <f>T79-E3*X80</f>
        <v>46.8270110646816</v>
      </c>
      <c r="V79" s="80">
        <v>0</v>
      </c>
      <c r="W79" s="80">
        <f>W77</f>
        <v>-30</v>
      </c>
      <c r="X79" s="80" t="s">
        <v>83</v>
      </c>
      <c r="AD79" s="80"/>
      <c r="AE79" s="80"/>
      <c r="AF79" s="81"/>
      <c r="AG79" s="80"/>
      <c r="AH79" s="80"/>
      <c r="AI79" s="5"/>
      <c r="AJ79" s="5"/>
    </row>
    <row r="80" spans="3:36" s="6" customFormat="1" ht="16.5" customHeight="1" hidden="1">
      <c r="C80" s="104" t="s">
        <v>60</v>
      </c>
      <c r="D80" s="67">
        <f t="shared" si="15"/>
        <v>-1</v>
      </c>
      <c r="E80" s="67">
        <f>-I4</f>
        <v>-30</v>
      </c>
      <c r="F80" s="67">
        <f>M7*H80+M5/2</f>
        <v>1</v>
      </c>
      <c r="G80" s="67">
        <f>-I4</f>
        <v>-30</v>
      </c>
      <c r="H80" s="67">
        <f>TAN(M8/2/180*PI())</f>
        <v>0</v>
      </c>
      <c r="I80" s="5"/>
      <c r="J80" s="67" t="s">
        <v>60</v>
      </c>
      <c r="K80" s="69">
        <f>D80-I7</f>
        <v>-19</v>
      </c>
      <c r="L80" s="69">
        <f t="shared" si="16"/>
        <v>-30</v>
      </c>
      <c r="M80" s="69">
        <f t="shared" si="17"/>
        <v>19</v>
      </c>
      <c r="N80" s="69">
        <f t="shared" si="18"/>
        <v>-30</v>
      </c>
      <c r="O80" s="5"/>
      <c r="P80" s="116"/>
      <c r="R80" s="80"/>
      <c r="S80" s="80" t="s">
        <v>85</v>
      </c>
      <c r="T80" s="80">
        <f t="shared" si="19"/>
        <v>46.8270110646816</v>
      </c>
      <c r="U80" s="80">
        <f>T79-2*E3*X80</f>
        <v>21.654022129363206</v>
      </c>
      <c r="V80" s="80">
        <f t="shared" si="20"/>
        <v>-30</v>
      </c>
      <c r="W80" s="80">
        <v>0</v>
      </c>
      <c r="X80" s="80">
        <f>TAN(E8/180*PI())</f>
        <v>0.8390996311772799</v>
      </c>
      <c r="AD80" s="80"/>
      <c r="AE80" s="80"/>
      <c r="AF80" s="81"/>
      <c r="AG80" s="80"/>
      <c r="AH80" s="80"/>
      <c r="AI80" s="5"/>
      <c r="AJ80" s="5"/>
    </row>
    <row r="81" spans="3:36" s="6" customFormat="1" ht="16.5" customHeight="1" hidden="1">
      <c r="C81" s="10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16"/>
      <c r="R81" s="80" t="s">
        <v>55</v>
      </c>
      <c r="S81" s="80" t="s">
        <v>84</v>
      </c>
      <c r="T81" s="6">
        <f>U86</f>
        <v>68.36470016363859</v>
      </c>
      <c r="U81" s="6">
        <f>U86-E3*X82</f>
        <v>14.24326750549588</v>
      </c>
      <c r="V81" s="6">
        <v>0</v>
      </c>
      <c r="W81" s="6">
        <f>W77</f>
        <v>-30</v>
      </c>
      <c r="X81" s="6" t="s">
        <v>86</v>
      </c>
      <c r="AI81" s="5"/>
      <c r="AJ81" s="5"/>
    </row>
    <row r="82" spans="3:36" s="6" customFormat="1" ht="16.5" customHeight="1" hidden="1">
      <c r="C82" s="107"/>
      <c r="D82" s="67"/>
      <c r="E82" s="105"/>
      <c r="F82" s="105"/>
      <c r="G82" s="105"/>
      <c r="H82" s="105"/>
      <c r="I82" s="105"/>
      <c r="J82" s="5"/>
      <c r="K82" s="5"/>
      <c r="L82" s="5"/>
      <c r="M82" s="5"/>
      <c r="N82" s="5"/>
      <c r="O82" s="5"/>
      <c r="P82" s="116"/>
      <c r="R82" s="80"/>
      <c r="S82" s="80" t="s">
        <v>85</v>
      </c>
      <c r="T82" s="6">
        <f t="shared" si="19"/>
        <v>14.24326750549588</v>
      </c>
      <c r="U82" s="6">
        <f>U86-2*E3*X82</f>
        <v>-39.87816515264683</v>
      </c>
      <c r="V82" s="6">
        <f t="shared" si="20"/>
        <v>-30</v>
      </c>
      <c r="W82" s="6">
        <v>0</v>
      </c>
      <c r="X82" s="6">
        <f>TAN(D17/180*PI())</f>
        <v>1.8040477552714236</v>
      </c>
      <c r="AI82" s="5"/>
      <c r="AJ82" s="5"/>
    </row>
    <row r="83" spans="3:36" s="6" customFormat="1" ht="16.5" customHeight="1" hidden="1">
      <c r="C83" s="107" t="s">
        <v>87</v>
      </c>
      <c r="D83" s="67" t="s">
        <v>76</v>
      </c>
      <c r="E83" s="67" t="s">
        <v>46</v>
      </c>
      <c r="F83" s="67" t="s">
        <v>77</v>
      </c>
      <c r="G83" s="67" t="s">
        <v>46</v>
      </c>
      <c r="H83" s="67"/>
      <c r="I83" s="105"/>
      <c r="J83" s="5"/>
      <c r="K83" s="81" t="s">
        <v>88</v>
      </c>
      <c r="L83" s="67" t="s">
        <v>76</v>
      </c>
      <c r="M83" s="67" t="s">
        <v>46</v>
      </c>
      <c r="N83" s="67" t="s">
        <v>77</v>
      </c>
      <c r="O83" s="67" t="s">
        <v>46</v>
      </c>
      <c r="P83" s="116"/>
      <c r="R83" s="81" t="s">
        <v>89</v>
      </c>
      <c r="S83" s="81" t="s">
        <v>90</v>
      </c>
      <c r="T83" s="80" t="s">
        <v>41</v>
      </c>
      <c r="U83" s="80" t="s">
        <v>42</v>
      </c>
      <c r="V83" s="80" t="s">
        <v>43</v>
      </c>
      <c r="W83" s="80" t="s">
        <v>44</v>
      </c>
      <c r="X83" s="122"/>
      <c r="AF83" s="5"/>
      <c r="AG83" s="5"/>
      <c r="AH83" s="5"/>
      <c r="AI83" s="5"/>
      <c r="AJ83" s="5"/>
    </row>
    <row r="84" spans="3:36" s="6" customFormat="1" ht="16.5" customHeight="1" hidden="1">
      <c r="C84" s="104" t="s">
        <v>53</v>
      </c>
      <c r="D84" s="67">
        <f>-F84</f>
        <v>-20.55255888325765</v>
      </c>
      <c r="E84" s="67">
        <v>0</v>
      </c>
      <c r="F84" s="67">
        <f>F85+(-G85)*I88</f>
        <v>20.55255888325765</v>
      </c>
      <c r="G84" s="67">
        <v>0</v>
      </c>
      <c r="H84" s="67" t="s">
        <v>91</v>
      </c>
      <c r="I84" s="105">
        <f>SIN(45/180*PI())</f>
        <v>0.7071067811865475</v>
      </c>
      <c r="J84" s="5"/>
      <c r="K84" s="67" t="s">
        <v>53</v>
      </c>
      <c r="L84" s="81">
        <f>D84-I7</f>
        <v>-38.552558883257646</v>
      </c>
      <c r="M84" s="81">
        <f aca="true" t="shared" si="21" ref="M84:M89">E84</f>
        <v>0</v>
      </c>
      <c r="N84" s="65">
        <f aca="true" t="shared" si="22" ref="N84:N89">-L84</f>
        <v>38.552558883257646</v>
      </c>
      <c r="O84" s="81">
        <f aca="true" t="shared" si="23" ref="O84:O89">G84</f>
        <v>0</v>
      </c>
      <c r="P84" s="116"/>
      <c r="R84" s="80" t="s">
        <v>47</v>
      </c>
      <c r="S84" s="80">
        <f>DEGREES(ASIN(2337*SIN(E7/180*PI())/E6))</f>
        <v>42.67171674634378</v>
      </c>
      <c r="T84" s="81">
        <f>T77+(E10*Y84)/(Y84-Y85)</f>
        <v>78.5643687780633</v>
      </c>
      <c r="U84" s="81">
        <f>T77</f>
        <v>67</v>
      </c>
      <c r="V84" s="81">
        <f>E10/(Y84-Y85)</f>
        <v>12.544605711831773</v>
      </c>
      <c r="W84" s="81">
        <v>0</v>
      </c>
      <c r="X84" s="122" t="s">
        <v>92</v>
      </c>
      <c r="Y84" s="6">
        <f>TAN(S84/180*PI())</f>
        <v>0.9218598849349298</v>
      </c>
      <c r="AF84" s="5"/>
      <c r="AG84" s="5"/>
      <c r="AH84" s="5"/>
      <c r="AI84" s="5"/>
      <c r="AJ84" s="5"/>
    </row>
    <row r="85" spans="3:36" s="6" customFormat="1" ht="16.5" customHeight="1" hidden="1">
      <c r="C85" s="104" t="s">
        <v>54</v>
      </c>
      <c r="D85" s="67">
        <f>-(Q6/2+Q5*I87)</f>
        <v>-5.830127018922194</v>
      </c>
      <c r="E85" s="67">
        <f>-(I4-Q8-Q7-Q5*(1-I86))</f>
        <v>-25.5</v>
      </c>
      <c r="F85" s="67">
        <f>Q6/2+Q5*I87</f>
        <v>5.830127018922194</v>
      </c>
      <c r="G85" s="67">
        <f>-(I4-Q8-Q7-Q5*(1-I86))</f>
        <v>-25.5</v>
      </c>
      <c r="H85" s="67" t="s">
        <v>93</v>
      </c>
      <c r="I85" s="67">
        <f>1-I84</f>
        <v>0.29289321881345254</v>
      </c>
      <c r="J85" s="5"/>
      <c r="K85" s="67" t="s">
        <v>54</v>
      </c>
      <c r="L85" s="81">
        <f>D85-I7</f>
        <v>-23.830127018922195</v>
      </c>
      <c r="M85" s="81">
        <f t="shared" si="21"/>
        <v>-25.5</v>
      </c>
      <c r="N85" s="65">
        <f t="shared" si="22"/>
        <v>23.830127018922195</v>
      </c>
      <c r="O85" s="81">
        <f t="shared" si="23"/>
        <v>-25.5</v>
      </c>
      <c r="P85" s="116"/>
      <c r="R85" s="80" t="s">
        <v>52</v>
      </c>
      <c r="S85" s="80">
        <f>DEGREES(ASIN(2337*SIN(E8/180*PI())/E6))</f>
        <v>27.622261475357444</v>
      </c>
      <c r="T85" s="81">
        <f>T84</f>
        <v>78.5643687780633</v>
      </c>
      <c r="U85" s="81">
        <f>T79</f>
        <v>72</v>
      </c>
      <c r="V85" s="81">
        <f>V84</f>
        <v>12.544605711831773</v>
      </c>
      <c r="W85" s="81">
        <v>0</v>
      </c>
      <c r="X85" s="80" t="s">
        <v>94</v>
      </c>
      <c r="Y85" s="6">
        <f aca="true" t="shared" si="24" ref="Y85:Y86">TAN(S85/180*PI())</f>
        <v>0.5232821922710528</v>
      </c>
      <c r="AD85" s="5"/>
      <c r="AE85" s="5"/>
      <c r="AF85" s="5"/>
      <c r="AG85" s="5"/>
      <c r="AH85" s="5"/>
      <c r="AI85" s="5"/>
      <c r="AJ85" s="5"/>
    </row>
    <row r="86" spans="3:36" s="6" customFormat="1" ht="16.5" customHeight="1" hidden="1">
      <c r="C86" s="104" t="s">
        <v>56</v>
      </c>
      <c r="D86" s="67">
        <f>-(Q6/2+Q5*I84)</f>
        <v>-5.035533905932738</v>
      </c>
      <c r="E86" s="67">
        <f>-(I4-Q8-Q7-Q5*I85)</f>
        <v>-26.535533905932738</v>
      </c>
      <c r="F86" s="67">
        <f>Q6/2+Q5*I84</f>
        <v>5.035533905932738</v>
      </c>
      <c r="G86" s="67">
        <f>-(I4-Q8-Q7-Q5*I85)</f>
        <v>-26.535533905932738</v>
      </c>
      <c r="H86" s="67" t="s">
        <v>95</v>
      </c>
      <c r="I86" s="105">
        <f>SIN(Q4/180*PI())</f>
        <v>0.49999999999999994</v>
      </c>
      <c r="J86" s="5"/>
      <c r="K86" s="67" t="s">
        <v>56</v>
      </c>
      <c r="L86" s="81">
        <f>D86-I7</f>
        <v>-23.035533905932738</v>
      </c>
      <c r="M86" s="81">
        <f t="shared" si="21"/>
        <v>-26.535533905932738</v>
      </c>
      <c r="N86" s="65">
        <f t="shared" si="22"/>
        <v>23.035533905932738</v>
      </c>
      <c r="O86" s="81">
        <f t="shared" si="23"/>
        <v>-26.535533905932738</v>
      </c>
      <c r="P86" s="116"/>
      <c r="R86" s="80" t="s">
        <v>55</v>
      </c>
      <c r="S86" s="80">
        <f>DEGREES(ASIN(2337*SIN(D17/180*PI())/E6))</f>
        <v>39.113597022680324</v>
      </c>
      <c r="T86" s="81">
        <f>T84</f>
        <v>78.5643687780633</v>
      </c>
      <c r="U86" s="81">
        <f>T77+E10*(Y84-Y86)/(Y84-Y85)</f>
        <v>68.36470016363859</v>
      </c>
      <c r="V86" s="81">
        <f>V84</f>
        <v>12.544605711831773</v>
      </c>
      <c r="W86" s="81">
        <v>0</v>
      </c>
      <c r="X86" s="122" t="s">
        <v>96</v>
      </c>
      <c r="Y86" s="6">
        <f t="shared" si="24"/>
        <v>0.8130720764547134</v>
      </c>
      <c r="AH86" s="67"/>
      <c r="AI86" s="5"/>
      <c r="AJ86" s="5"/>
    </row>
    <row r="87" spans="3:36" s="6" customFormat="1" ht="16.5" customHeight="1" hidden="1">
      <c r="C87" s="104" t="s">
        <v>57</v>
      </c>
      <c r="D87" s="67">
        <f>-Q6/2</f>
        <v>-1.5</v>
      </c>
      <c r="E87" s="67">
        <f>-(I4-Q8-Q7)</f>
        <v>-28</v>
      </c>
      <c r="F87" s="67">
        <f>Q6/2</f>
        <v>1.5</v>
      </c>
      <c r="G87" s="67">
        <f>-(I4-Q8-Q7)</f>
        <v>-28</v>
      </c>
      <c r="H87" s="105" t="s">
        <v>97</v>
      </c>
      <c r="I87" s="105">
        <f>COS(Q4/180*PI())</f>
        <v>0.8660254037844387</v>
      </c>
      <c r="J87" s="5"/>
      <c r="K87" s="67" t="s">
        <v>57</v>
      </c>
      <c r="L87" s="81">
        <f>D87-I7</f>
        <v>-19.5</v>
      </c>
      <c r="M87" s="81">
        <f t="shared" si="21"/>
        <v>-28</v>
      </c>
      <c r="N87" s="65">
        <f t="shared" si="22"/>
        <v>19.5</v>
      </c>
      <c r="O87" s="81">
        <f t="shared" si="23"/>
        <v>-28</v>
      </c>
      <c r="P87" s="116"/>
      <c r="R87" s="80" t="s">
        <v>98</v>
      </c>
      <c r="S87" s="80" t="s">
        <v>41</v>
      </c>
      <c r="T87" s="80" t="s">
        <v>42</v>
      </c>
      <c r="U87" s="80" t="s">
        <v>65</v>
      </c>
      <c r="V87" s="80" t="s">
        <v>66</v>
      </c>
      <c r="W87" s="80" t="s">
        <v>67</v>
      </c>
      <c r="X87" s="122"/>
      <c r="AH87" s="5"/>
      <c r="AI87" s="5"/>
      <c r="AJ87" s="5"/>
    </row>
    <row r="88" spans="3:36" s="6" customFormat="1" ht="16.5" customHeight="1" hidden="1">
      <c r="C88" s="104" t="s">
        <v>59</v>
      </c>
      <c r="D88" s="67">
        <f>-Q6/2</f>
        <v>-1.5</v>
      </c>
      <c r="E88" s="67">
        <f>-(I4-Q8)</f>
        <v>-30</v>
      </c>
      <c r="F88" s="67">
        <f>Q6/2</f>
        <v>1.5</v>
      </c>
      <c r="G88" s="67">
        <f>-(I4-Q8)</f>
        <v>-30</v>
      </c>
      <c r="H88" s="105" t="s">
        <v>99</v>
      </c>
      <c r="I88" s="105">
        <f>TAN(Q4/180*PI())</f>
        <v>0.5773502691896257</v>
      </c>
      <c r="J88" s="5"/>
      <c r="K88" s="67" t="s">
        <v>59</v>
      </c>
      <c r="L88" s="81">
        <f>D88-I7</f>
        <v>-19.5</v>
      </c>
      <c r="M88" s="81">
        <f t="shared" si="21"/>
        <v>-30</v>
      </c>
      <c r="N88" s="65">
        <f t="shared" si="22"/>
        <v>19.5</v>
      </c>
      <c r="O88" s="81">
        <f t="shared" si="23"/>
        <v>-30</v>
      </c>
      <c r="P88" s="116"/>
      <c r="R88" s="80"/>
      <c r="S88" s="80">
        <f>T77-E9</f>
        <v>54</v>
      </c>
      <c r="T88" s="80">
        <f>S88</f>
        <v>54</v>
      </c>
      <c r="U88" s="80">
        <f>T77</f>
        <v>67</v>
      </c>
      <c r="V88" s="80">
        <f>T77+2*V84*Y84</f>
        <v>90.1287375561266</v>
      </c>
      <c r="W88" s="80">
        <f>V88</f>
        <v>90.1287375561266</v>
      </c>
      <c r="X88" s="81"/>
      <c r="AD88" s="5"/>
      <c r="AE88" s="5"/>
      <c r="AF88" s="5"/>
      <c r="AG88" s="5"/>
      <c r="AH88" s="5"/>
      <c r="AI88" s="5"/>
      <c r="AJ88" s="5"/>
    </row>
    <row r="89" spans="3:36" s="6" customFormat="1" ht="16.5" customHeight="1" hidden="1">
      <c r="C89" s="104" t="s">
        <v>60</v>
      </c>
      <c r="D89" s="67">
        <f>-(Q6/2+Q8*TAN(Q9/2/180*PI()))</f>
        <v>-1.5</v>
      </c>
      <c r="E89" s="67">
        <f>-I4</f>
        <v>-30</v>
      </c>
      <c r="F89" s="67">
        <f>(Q6/2+Q8*TAN(Q9/2/180*PI()))</f>
        <v>1.5</v>
      </c>
      <c r="G89" s="67">
        <f>-I4</f>
        <v>-30</v>
      </c>
      <c r="H89" s="67"/>
      <c r="I89" s="105"/>
      <c r="J89" s="5"/>
      <c r="K89" s="67" t="s">
        <v>60</v>
      </c>
      <c r="L89" s="81">
        <f>D89-I7</f>
        <v>-19.5</v>
      </c>
      <c r="M89" s="81">
        <f t="shared" si="21"/>
        <v>-30</v>
      </c>
      <c r="N89" s="65">
        <f t="shared" si="22"/>
        <v>19.5</v>
      </c>
      <c r="O89" s="81">
        <f t="shared" si="23"/>
        <v>-30</v>
      </c>
      <c r="P89" s="116"/>
      <c r="R89" s="80"/>
      <c r="S89" s="80" t="s">
        <v>43</v>
      </c>
      <c r="T89" s="80" t="s">
        <v>44</v>
      </c>
      <c r="U89" s="81" t="s">
        <v>69</v>
      </c>
      <c r="V89" s="80" t="s">
        <v>70</v>
      </c>
      <c r="W89" s="80" t="s">
        <v>71</v>
      </c>
      <c r="X89" s="81"/>
      <c r="AD89" s="5"/>
      <c r="AE89" s="5"/>
      <c r="AF89" s="5"/>
      <c r="AG89" s="5"/>
      <c r="AH89" s="5"/>
      <c r="AI89" s="5"/>
      <c r="AJ89" s="5"/>
    </row>
    <row r="90" spans="3:36" s="6" customFormat="1" ht="16.5" customHeight="1" hidden="1">
      <c r="C90" s="108"/>
      <c r="D90" s="81"/>
      <c r="E90" s="81"/>
      <c r="F90" s="81"/>
      <c r="G90" s="81"/>
      <c r="H90" s="5"/>
      <c r="I90" s="5"/>
      <c r="J90" s="5"/>
      <c r="K90" s="5"/>
      <c r="L90" s="5"/>
      <c r="M90" s="5"/>
      <c r="N90" s="5"/>
      <c r="O90" s="5"/>
      <c r="P90" s="116"/>
      <c r="R90" s="80"/>
      <c r="S90" s="80">
        <v>0</v>
      </c>
      <c r="T90" s="80">
        <f>1.5*V84</f>
        <v>18.81690856774766</v>
      </c>
      <c r="U90" s="81">
        <f>T90</f>
        <v>18.81690856774766</v>
      </c>
      <c r="V90" s="80">
        <f>0.5*V84</f>
        <v>6.272302855915886</v>
      </c>
      <c r="W90" s="80">
        <v>0</v>
      </c>
      <c r="X90" s="81"/>
      <c r="AD90" s="5"/>
      <c r="AE90" s="5"/>
      <c r="AF90" s="5"/>
      <c r="AG90" s="5"/>
      <c r="AH90" s="5"/>
      <c r="AI90" s="5"/>
      <c r="AJ90" s="5"/>
    </row>
    <row r="91" spans="3:36" s="6" customFormat="1" ht="16.5" customHeight="1" hidden="1">
      <c r="C91" s="108"/>
      <c r="D91" s="81"/>
      <c r="E91" s="81"/>
      <c r="F91" s="81"/>
      <c r="G91" s="81"/>
      <c r="H91" s="5"/>
      <c r="I91" s="5"/>
      <c r="J91" s="5"/>
      <c r="K91" s="5"/>
      <c r="L91" s="5"/>
      <c r="M91" s="5"/>
      <c r="N91" s="5"/>
      <c r="O91" s="5"/>
      <c r="P91" s="116"/>
      <c r="R91" s="67" t="s">
        <v>73</v>
      </c>
      <c r="S91" s="69" t="s">
        <v>41</v>
      </c>
      <c r="T91" s="69" t="s">
        <v>42</v>
      </c>
      <c r="U91" s="5" t="s">
        <v>43</v>
      </c>
      <c r="V91" s="5" t="s">
        <v>44</v>
      </c>
      <c r="AC91" s="5"/>
      <c r="AD91" s="5"/>
      <c r="AE91" s="5"/>
      <c r="AF91" s="5"/>
      <c r="AG91" s="5"/>
      <c r="AH91" s="5"/>
      <c r="AI91" s="5"/>
      <c r="AJ91" s="5"/>
    </row>
    <row r="92" spans="3:36" s="6" customFormat="1" ht="16.5" customHeight="1" hidden="1">
      <c r="C92" s="109" t="s">
        <v>100</v>
      </c>
      <c r="D92" s="65" t="s">
        <v>76</v>
      </c>
      <c r="E92" s="65" t="s">
        <v>46</v>
      </c>
      <c r="F92" s="65" t="s">
        <v>45</v>
      </c>
      <c r="G92" s="65" t="s">
        <v>46</v>
      </c>
      <c r="H92" s="110"/>
      <c r="I92" s="111" t="s">
        <v>101</v>
      </c>
      <c r="J92" s="111" t="s">
        <v>102</v>
      </c>
      <c r="K92" s="5"/>
      <c r="L92" s="65" t="s">
        <v>100</v>
      </c>
      <c r="M92" s="65" t="s">
        <v>76</v>
      </c>
      <c r="N92" s="65" t="s">
        <v>46</v>
      </c>
      <c r="O92" s="65" t="s">
        <v>77</v>
      </c>
      <c r="P92" s="117" t="s">
        <v>46</v>
      </c>
      <c r="R92" s="67" t="s">
        <v>74</v>
      </c>
      <c r="S92" s="69">
        <f>P30-D13</f>
        <v>-22</v>
      </c>
      <c r="T92" s="69">
        <f>S92+0.5</f>
        <v>-21.5</v>
      </c>
      <c r="U92" s="5">
        <f>-D15</f>
        <v>-20</v>
      </c>
      <c r="V92" s="5">
        <f>-D15</f>
        <v>-20</v>
      </c>
      <c r="AC92" s="5"/>
      <c r="AD92" s="5"/>
      <c r="AE92" s="5"/>
      <c r="AF92" s="5"/>
      <c r="AG92" s="5"/>
      <c r="AH92" s="5"/>
      <c r="AI92" s="5"/>
      <c r="AJ92" s="5"/>
    </row>
    <row r="93" spans="3:36" s="6" customFormat="1" ht="16.5" customHeight="1" hidden="1">
      <c r="C93" s="104" t="s">
        <v>49</v>
      </c>
      <c r="D93" s="65">
        <f aca="true" t="shared" si="25" ref="D93:D100">-F93</f>
        <v>-9.716411843345725</v>
      </c>
      <c r="E93" s="65">
        <f aca="true" t="shared" si="26" ref="E93:E100">G93</f>
        <v>0</v>
      </c>
      <c r="F93" s="65">
        <f>F94+(-G94)*J97</f>
        <v>9.716411843345725</v>
      </c>
      <c r="G93" s="65">
        <v>0</v>
      </c>
      <c r="H93" s="65"/>
      <c r="I93" s="111">
        <f>SIN(45/180*PI())</f>
        <v>0.7071067811865475</v>
      </c>
      <c r="J93" s="111">
        <f>SIN(U4/180*PI())</f>
        <v>0.3420201433256687</v>
      </c>
      <c r="K93" s="5"/>
      <c r="L93" s="65" t="s">
        <v>49</v>
      </c>
      <c r="M93" s="118">
        <f>D93-I7</f>
        <v>-27.716411843345725</v>
      </c>
      <c r="N93" s="118">
        <f aca="true" t="shared" si="27" ref="N93:N100">E93</f>
        <v>0</v>
      </c>
      <c r="O93" s="65">
        <f aca="true" t="shared" si="28" ref="O93:O100">-M93</f>
        <v>27.716411843345725</v>
      </c>
      <c r="P93" s="117">
        <f aca="true" t="shared" si="29" ref="P93:P100">N93</f>
        <v>0</v>
      </c>
      <c r="AC93" s="5"/>
      <c r="AD93" s="5"/>
      <c r="AE93" s="5"/>
      <c r="AF93" s="5"/>
      <c r="AG93" s="5"/>
      <c r="AH93" s="5"/>
      <c r="AI93" s="5"/>
      <c r="AJ93" s="5"/>
    </row>
    <row r="94" spans="3:36" s="6" customFormat="1" ht="16.5" customHeight="1" hidden="1">
      <c r="C94" s="104" t="s">
        <v>51</v>
      </c>
      <c r="D94" s="65">
        <f t="shared" si="25"/>
        <v>-10.396926207859085</v>
      </c>
      <c r="E94" s="65">
        <f t="shared" si="26"/>
        <v>1.8696978501149708</v>
      </c>
      <c r="F94" s="65">
        <f>U6/2+U5*J95</f>
        <v>10.396926207859085</v>
      </c>
      <c r="G94" s="65">
        <f>G96+U5*(1-J93)</f>
        <v>1.8696978501149708</v>
      </c>
      <c r="H94" s="65"/>
      <c r="I94" s="65" t="s">
        <v>103</v>
      </c>
      <c r="J94" s="111" t="s">
        <v>104</v>
      </c>
      <c r="K94" s="5"/>
      <c r="L94" s="65" t="s">
        <v>51</v>
      </c>
      <c r="M94" s="118">
        <f>D94-I7</f>
        <v>-28.396926207859085</v>
      </c>
      <c r="N94" s="118">
        <f t="shared" si="27"/>
        <v>1.8696978501149708</v>
      </c>
      <c r="O94" s="65">
        <f t="shared" si="28"/>
        <v>28.396926207859085</v>
      </c>
      <c r="P94" s="117">
        <f t="shared" si="29"/>
        <v>1.8696978501149708</v>
      </c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3:36" s="6" customFormat="1" ht="16.5" customHeight="1" hidden="1">
      <c r="C95" s="104" t="s">
        <v>53</v>
      </c>
      <c r="D95" s="65">
        <f t="shared" si="25"/>
        <v>-8.071067811865476</v>
      </c>
      <c r="E95" s="65">
        <f t="shared" si="26"/>
        <v>-1.7811685284938177</v>
      </c>
      <c r="F95" s="65">
        <f>U6/2+U5*I93</f>
        <v>8.071067811865476</v>
      </c>
      <c r="G95" s="65">
        <f>G96+U5*(1-I93)</f>
        <v>-1.7811685284938177</v>
      </c>
      <c r="H95" s="65"/>
      <c r="I95" s="111">
        <f>SIN(U9/180*PI())</f>
        <v>0.3420201433256687</v>
      </c>
      <c r="J95" s="111">
        <f>COS(U4/180*PI())</f>
        <v>0.9396926207859084</v>
      </c>
      <c r="K95" s="5"/>
      <c r="L95" s="65" t="s">
        <v>53</v>
      </c>
      <c r="M95" s="118">
        <f>D95-I7</f>
        <v>-26.071067811865476</v>
      </c>
      <c r="N95" s="118">
        <f t="shared" si="27"/>
        <v>-1.7811685284938177</v>
      </c>
      <c r="O95" s="65">
        <f t="shared" si="28"/>
        <v>26.071067811865476</v>
      </c>
      <c r="P95" s="117">
        <f t="shared" si="29"/>
        <v>-1.7811685284938177</v>
      </c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3:36" s="6" customFormat="1" ht="16.5" customHeight="1" hidden="1">
      <c r="C96" s="104" t="s">
        <v>54</v>
      </c>
      <c r="D96" s="65">
        <f t="shared" si="25"/>
        <v>-1</v>
      </c>
      <c r="E96" s="65">
        <f t="shared" si="26"/>
        <v>-4.710100716628343</v>
      </c>
      <c r="F96" s="65">
        <f>U6/2</f>
        <v>1</v>
      </c>
      <c r="G96" s="65">
        <f>G97+U7</f>
        <v>-4.710100716628343</v>
      </c>
      <c r="H96" s="111"/>
      <c r="I96" s="111" t="s">
        <v>105</v>
      </c>
      <c r="J96" s="111" t="s">
        <v>83</v>
      </c>
      <c r="K96" s="5"/>
      <c r="L96" s="65" t="s">
        <v>54</v>
      </c>
      <c r="M96" s="118">
        <f>D96-I7</f>
        <v>-19</v>
      </c>
      <c r="N96" s="118">
        <f t="shared" si="27"/>
        <v>-4.710100716628343</v>
      </c>
      <c r="O96" s="65">
        <f t="shared" si="28"/>
        <v>19</v>
      </c>
      <c r="P96" s="117">
        <f t="shared" si="29"/>
        <v>-4.710100716628343</v>
      </c>
      <c r="R96" s="123" t="s">
        <v>61</v>
      </c>
      <c r="S96" s="124" t="s">
        <v>45</v>
      </c>
      <c r="T96" s="125" t="s">
        <v>46</v>
      </c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3:36" s="6" customFormat="1" ht="16.5" customHeight="1" hidden="1">
      <c r="C97" s="104" t="s">
        <v>56</v>
      </c>
      <c r="D97" s="65">
        <f t="shared" si="25"/>
        <v>-1</v>
      </c>
      <c r="E97" s="65">
        <f t="shared" si="26"/>
        <v>-6.710100716628343</v>
      </c>
      <c r="F97" s="65">
        <f>U6/2</f>
        <v>1</v>
      </c>
      <c r="G97" s="65">
        <f>-(I4-(U8+U10*(1-I95)))</f>
        <v>-6.710100716628343</v>
      </c>
      <c r="H97" s="111"/>
      <c r="I97" s="111">
        <f>1-I95</f>
        <v>0.6579798566743313</v>
      </c>
      <c r="J97" s="111">
        <f>TAN(U4/180*PI())</f>
        <v>0.36397023426620234</v>
      </c>
      <c r="K97" s="5"/>
      <c r="L97" s="65" t="s">
        <v>56</v>
      </c>
      <c r="M97" s="118">
        <f>D97-I7</f>
        <v>-19</v>
      </c>
      <c r="N97" s="118">
        <f t="shared" si="27"/>
        <v>-6.710100716628343</v>
      </c>
      <c r="O97" s="65">
        <f t="shared" si="28"/>
        <v>19</v>
      </c>
      <c r="P97" s="117">
        <f t="shared" si="29"/>
        <v>-6.710100716628343</v>
      </c>
      <c r="R97" s="126" t="s">
        <v>68</v>
      </c>
      <c r="S97" s="68">
        <f>-2*E3</f>
        <v>-60</v>
      </c>
      <c r="T97" s="127">
        <v>0</v>
      </c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3:36" s="6" customFormat="1" ht="16.5" customHeight="1" hidden="1">
      <c r="C98" s="104" t="s">
        <v>57</v>
      </c>
      <c r="D98" s="65">
        <f t="shared" si="25"/>
        <v>-4.535533905932738</v>
      </c>
      <c r="E98" s="65">
        <f t="shared" si="26"/>
        <v>-8.174566810695605</v>
      </c>
      <c r="F98" s="65">
        <f>U10*I93+F97</f>
        <v>4.535533905932738</v>
      </c>
      <c r="G98" s="65">
        <f>-(I4-(U8+U10*(I93-I95)))</f>
        <v>-8.174566810695605</v>
      </c>
      <c r="H98" s="65"/>
      <c r="I98" s="111" t="s">
        <v>106</v>
      </c>
      <c r="J98" s="111" t="s">
        <v>78</v>
      </c>
      <c r="K98" s="5"/>
      <c r="L98" s="65" t="s">
        <v>57</v>
      </c>
      <c r="M98" s="118">
        <f>D98-I7</f>
        <v>-22.535533905932738</v>
      </c>
      <c r="N98" s="118">
        <f t="shared" si="27"/>
        <v>-8.174566810695605</v>
      </c>
      <c r="O98" s="65">
        <f t="shared" si="28"/>
        <v>22.535533905932738</v>
      </c>
      <c r="P98" s="117">
        <f t="shared" si="29"/>
        <v>-8.174566810695605</v>
      </c>
      <c r="R98" s="126"/>
      <c r="S98" s="68">
        <f>-S97</f>
        <v>60</v>
      </c>
      <c r="T98" s="127">
        <v>0</v>
      </c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3:36" s="6" customFormat="1" ht="16.5" customHeight="1" hidden="1">
      <c r="C99" s="104" t="s">
        <v>59</v>
      </c>
      <c r="D99" s="65">
        <f t="shared" si="25"/>
        <v>-5.698463103929543</v>
      </c>
      <c r="E99" s="65">
        <f t="shared" si="26"/>
        <v>-10</v>
      </c>
      <c r="F99" s="65">
        <f>U10*I99+F97</f>
        <v>5.698463103929543</v>
      </c>
      <c r="G99" s="65">
        <f>-(I4-U8)</f>
        <v>-10</v>
      </c>
      <c r="H99" s="65"/>
      <c r="I99" s="65">
        <f>COS(U9/180*PI())</f>
        <v>0.9396926207859084</v>
      </c>
      <c r="J99" s="111">
        <f>TAN(U9/180*PI())</f>
        <v>0.36397023426620234</v>
      </c>
      <c r="K99" s="5"/>
      <c r="L99" s="65" t="s">
        <v>59</v>
      </c>
      <c r="M99" s="118">
        <f>D99-I7</f>
        <v>-23.69846310392954</v>
      </c>
      <c r="N99" s="118">
        <f t="shared" si="27"/>
        <v>-10</v>
      </c>
      <c r="O99" s="65">
        <f t="shared" si="28"/>
        <v>23.69846310392954</v>
      </c>
      <c r="P99" s="117">
        <f t="shared" si="29"/>
        <v>-10</v>
      </c>
      <c r="R99" s="126" t="s">
        <v>72</v>
      </c>
      <c r="S99" s="68">
        <f>S97</f>
        <v>-60</v>
      </c>
      <c r="T99" s="127">
        <f>-I4</f>
        <v>-30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3:36" s="6" customFormat="1" ht="16.5" customHeight="1" hidden="1">
      <c r="C100" s="112" t="s">
        <v>60</v>
      </c>
      <c r="D100" s="113">
        <f t="shared" si="25"/>
        <v>-12.97786778925359</v>
      </c>
      <c r="E100" s="113">
        <f t="shared" si="26"/>
        <v>-30</v>
      </c>
      <c r="F100" s="113">
        <f>F99+U8*J99</f>
        <v>12.97786778925359</v>
      </c>
      <c r="G100" s="113">
        <f>-I4</f>
        <v>-30</v>
      </c>
      <c r="H100" s="113"/>
      <c r="I100" s="119"/>
      <c r="J100" s="119"/>
      <c r="K100" s="120"/>
      <c r="L100" s="113" t="s">
        <v>60</v>
      </c>
      <c r="M100" s="113">
        <f>D100-I7</f>
        <v>-30.97786778925359</v>
      </c>
      <c r="N100" s="113">
        <f t="shared" si="27"/>
        <v>-30</v>
      </c>
      <c r="O100" s="113">
        <f t="shared" si="28"/>
        <v>30.97786778925359</v>
      </c>
      <c r="P100" s="121">
        <f t="shared" si="29"/>
        <v>-30</v>
      </c>
      <c r="R100" s="128"/>
      <c r="S100" s="129">
        <f>-S97</f>
        <v>60</v>
      </c>
      <c r="T100" s="130">
        <f>-I4</f>
        <v>-30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8:36" s="6" customFormat="1" ht="16.5" customHeight="1" hidden="1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8:36" s="6" customFormat="1" ht="16.5" customHeight="1" hidden="1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="6" customFormat="1" ht="16.5" customHeight="1" hidden="1"/>
    <row r="104" s="6" customFormat="1" ht="16.5" customHeight="1" hidden="1"/>
    <row r="105" s="6" customFormat="1" ht="16.5" customHeight="1" hidden="1"/>
    <row r="106" s="6" customFormat="1" ht="16.5" customHeight="1" hidden="1"/>
    <row r="107" s="6" customFormat="1" ht="16.5" customHeight="1" hidden="1"/>
    <row r="108" s="6" customFormat="1" ht="16.5" customHeight="1" hidden="1"/>
    <row r="109" s="6" customFormat="1" ht="16.5" customHeight="1" hidden="1"/>
    <row r="110" s="6" customFormat="1" ht="16.5" customHeight="1"/>
    <row r="111" s="6" customFormat="1" ht="16.5" customHeight="1"/>
    <row r="112" s="6" customFormat="1" ht="16.5" customHeight="1"/>
    <row r="113" s="6" customFormat="1" ht="16.5" customHeight="1"/>
    <row r="114" s="6" customFormat="1" ht="16.5" customHeight="1"/>
    <row r="115" s="6" customFormat="1" ht="16.5" customHeight="1"/>
    <row r="116" s="6" customFormat="1" ht="16.5" customHeight="1"/>
    <row r="117" s="6" customFormat="1" ht="16.5" customHeight="1"/>
    <row r="118" s="6" customFormat="1" ht="16.5" customHeight="1"/>
    <row r="119" s="6" customFormat="1" ht="16.5" customHeight="1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7" customFormat="1" ht="14.25"/>
    <row r="130" s="7" customFormat="1" ht="14.25"/>
    <row r="131" s="7" customFormat="1" ht="14.25"/>
    <row r="132" s="7" customFormat="1" ht="14.25"/>
    <row r="133" s="7" customFormat="1" ht="14.25"/>
    <row r="134" s="7" customFormat="1" ht="14.25"/>
  </sheetData>
  <sheetProtection password="D6F4" sheet="1" objects="1" scenarios="1" selectLockedCells="1"/>
  <mergeCells count="58">
    <mergeCell ref="B1:U1"/>
    <mergeCell ref="B2:U2"/>
    <mergeCell ref="K3:M3"/>
    <mergeCell ref="O3:Q3"/>
    <mergeCell ref="S3:U3"/>
    <mergeCell ref="K4:L4"/>
    <mergeCell ref="O4:P4"/>
    <mergeCell ref="S4:T4"/>
    <mergeCell ref="K5:L5"/>
    <mergeCell ref="O5:P5"/>
    <mergeCell ref="S5:T5"/>
    <mergeCell ref="K6:L6"/>
    <mergeCell ref="O6:P6"/>
    <mergeCell ref="S6:T6"/>
    <mergeCell ref="K7:L7"/>
    <mergeCell ref="O7:P7"/>
    <mergeCell ref="S7:T7"/>
    <mergeCell ref="K8:L8"/>
    <mergeCell ref="O8:P8"/>
    <mergeCell ref="S8:T8"/>
    <mergeCell ref="S9:T9"/>
    <mergeCell ref="S10:T10"/>
    <mergeCell ref="N29:O29"/>
    <mergeCell ref="N36:O36"/>
    <mergeCell ref="N37:O37"/>
    <mergeCell ref="N38:O38"/>
    <mergeCell ref="N39:O39"/>
    <mergeCell ref="R76:S76"/>
    <mergeCell ref="D11:D12"/>
    <mergeCell ref="D13:D14"/>
    <mergeCell ref="D15:D16"/>
    <mergeCell ref="D17:D18"/>
    <mergeCell ref="F3:F10"/>
    <mergeCell ref="G3:G10"/>
    <mergeCell ref="G40:G45"/>
    <mergeCell ref="H7:H8"/>
    <mergeCell ref="I7:I8"/>
    <mergeCell ref="J3:J8"/>
    <mergeCell ref="J40:J45"/>
    <mergeCell ref="N3:N8"/>
    <mergeCell ref="N30:N31"/>
    <mergeCell ref="N32:N33"/>
    <mergeCell ref="N34:N35"/>
    <mergeCell ref="N40:N43"/>
    <mergeCell ref="Q9:Q10"/>
    <mergeCell ref="R3:R10"/>
    <mergeCell ref="R77:R78"/>
    <mergeCell ref="R79:R80"/>
    <mergeCell ref="R81:R82"/>
    <mergeCell ref="R87:R90"/>
    <mergeCell ref="B19:D21"/>
    <mergeCell ref="B11:C12"/>
    <mergeCell ref="B13:C14"/>
    <mergeCell ref="B3:C10"/>
    <mergeCell ref="B15:C16"/>
    <mergeCell ref="B17:C18"/>
    <mergeCell ref="H9:N10"/>
    <mergeCell ref="O9:P10"/>
  </mergeCells>
  <dataValidations count="2">
    <dataValidation errorStyle="warning" type="whole" allowBlank="1" showInputMessage="1" showErrorMessage="1" errorTitle="选择错误" error="只能选择数字“1”或“2”或“3”请重试！" sqref="I3">
      <formula1>1</formula1>
      <formula2>3</formula2>
    </dataValidation>
    <dataValidation errorStyle="warning" type="whole" allowBlank="1" showInputMessage="1" showErrorMessage="1" errorTitle="输入有误！" error="只能输入数字“1”或数字“2”，请重试" sqref="E5">
      <formula1>1</formula1>
      <formula2>2</formula2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相控阵模拟器</dc:title>
  <dc:subject/>
  <dc:creator/>
  <cp:keywords/>
  <dc:description/>
  <cp:lastModifiedBy/>
  <dcterms:created xsi:type="dcterms:W3CDTF">1996-12-17T01:32:00Z</dcterms:created>
  <dcterms:modified xsi:type="dcterms:W3CDTF">2017-06-09T07:39:53Z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